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cottsdaleaz-my.sharepoint.com/personal/mmcpherson_scottsdaleaz_gov/Documents/Web/Originals/"/>
    </mc:Choice>
  </mc:AlternateContent>
  <xr:revisionPtr revIDLastSave="1" documentId="8_{4F05DADF-2578-48C2-92EE-B54B9A6985D0}" xr6:coauthVersionLast="47" xr6:coauthVersionMax="47" xr10:uidLastSave="{886339C7-32CC-4F88-8A3E-2C0BCFE23656}"/>
  <bookViews>
    <workbookView xWindow="38280" yWindow="-120" windowWidth="38640" windowHeight="21240" tabRatio="805" xr2:uid="{1BE4BDEA-F3A3-45DA-A5E6-C9BFC5E7B0C9}"/>
  </bookViews>
  <sheets>
    <sheet name="INSTRUCTIONS" sheetId="11" r:id="rId1"/>
    <sheet name="1_ENTER WATER USE INPUTS" sheetId="2" r:id="rId2"/>
    <sheet name="2_SELECT CONSERVATION MEASURES" sheetId="10" r:id="rId3"/>
    <sheet name="3_WATER DEMAND EXHIBIT SUMMARY" sheetId="12" r:id="rId4"/>
    <sheet name="4_USE SUMMARY W GRAPH" sheetId="1" r:id="rId5"/>
    <sheet name="5_USE DETAILED TABLE" sheetId="7" r:id="rId6"/>
  </sheets>
  <definedNames>
    <definedName name="_xlnm.Print_Area" localSheetId="1">'1_ENTER WATER USE INPUTS'!$A$1:$H$47</definedName>
    <definedName name="_xlnm.Print_Area" localSheetId="2">'2_SELECT CONSERVATION MEASURES'!$A$1:$H$19</definedName>
    <definedName name="_xlnm.Print_Area" localSheetId="3">'3_WATER DEMAND EXHIBIT SUMMARY'!$A$1:$K$31</definedName>
    <definedName name="_xlnm.Print_Area" localSheetId="4">'4_USE SUMMARY W GRAPH'!$A$1:$N$14</definedName>
    <definedName name="_xlnm.Print_Area" localSheetId="5">'5_USE DETAILED TABLE'!$A$1:$X$47</definedName>
    <definedName name="_xlnm.Print_Area" localSheetId="0">INSTRUCTIONS!$A$1:$P$19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C17" i="12"/>
  <c r="C18" i="12"/>
  <c r="C19" i="12"/>
  <c r="C20" i="12"/>
  <c r="C21" i="12"/>
  <c r="C22" i="12"/>
  <c r="C15" i="12"/>
  <c r="I30" i="12"/>
  <c r="B3" i="12"/>
  <c r="G16" i="12"/>
  <c r="G19" i="12"/>
  <c r="D16" i="12"/>
  <c r="D17" i="12"/>
  <c r="D18" i="12"/>
  <c r="D19" i="12"/>
  <c r="D20" i="12"/>
  <c r="D21" i="12"/>
  <c r="D22" i="12"/>
  <c r="D15" i="12"/>
  <c r="G18" i="12"/>
  <c r="G22" i="12"/>
  <c r="G21" i="12"/>
  <c r="G20" i="12"/>
  <c r="G17" i="12"/>
  <c r="G15" i="12"/>
  <c r="D39" i="2"/>
  <c r="C35" i="2" l="1"/>
  <c r="B5" i="10"/>
  <c r="B3" i="7"/>
  <c r="B3" i="1"/>
  <c r="L13" i="1" l="1"/>
  <c r="O46" i="7"/>
  <c r="G18" i="10"/>
  <c r="G46" i="2"/>
  <c r="C34" i="2"/>
  <c r="C33" i="2"/>
  <c r="C32" i="2"/>
  <c r="C31" i="2"/>
  <c r="C30" i="2"/>
  <c r="C29" i="2"/>
  <c r="M33" i="7" l="1"/>
  <c r="N33" i="7" s="1"/>
  <c r="F35" i="2"/>
  <c r="C33" i="7" s="1"/>
  <c r="C37" i="2"/>
  <c r="D37" i="2"/>
  <c r="D27" i="7"/>
  <c r="E27" i="7" s="1"/>
  <c r="M27" i="7"/>
  <c r="N27" i="7" s="1"/>
  <c r="F29" i="2"/>
  <c r="C27" i="7" s="1"/>
  <c r="U8" i="7"/>
  <c r="U9" i="7"/>
  <c r="U10" i="7"/>
  <c r="U11" i="7"/>
  <c r="U12" i="7"/>
  <c r="U13" i="7"/>
  <c r="U15" i="7"/>
  <c r="U16" i="7"/>
  <c r="U17" i="7"/>
  <c r="U18" i="7"/>
  <c r="U19" i="7"/>
  <c r="U20" i="7"/>
  <c r="U21" i="7"/>
  <c r="U7" i="7"/>
  <c r="E24" i="7"/>
  <c r="E25" i="7"/>
  <c r="E23" i="7"/>
  <c r="E16" i="7"/>
  <c r="E17" i="7"/>
  <c r="E18" i="7"/>
  <c r="E19" i="7"/>
  <c r="E20" i="7"/>
  <c r="E21" i="7"/>
  <c r="E15" i="7"/>
  <c r="E8" i="7"/>
  <c r="E9" i="7"/>
  <c r="E10" i="7"/>
  <c r="E11" i="7"/>
  <c r="E12" i="7"/>
  <c r="E13" i="7"/>
  <c r="E7" i="7"/>
  <c r="F10" i="2"/>
  <c r="C8" i="7" s="1"/>
  <c r="F11" i="2"/>
  <c r="C9" i="7" s="1"/>
  <c r="F12" i="2"/>
  <c r="C10" i="7" s="1"/>
  <c r="F13" i="2"/>
  <c r="C11" i="7" s="1"/>
  <c r="F14" i="2"/>
  <c r="C12" i="7" s="1"/>
  <c r="F15" i="2"/>
  <c r="C13" i="7" s="1"/>
  <c r="F17" i="2"/>
  <c r="C15" i="7" s="1"/>
  <c r="F18" i="2"/>
  <c r="C16" i="7" s="1"/>
  <c r="F19" i="2"/>
  <c r="C17" i="7" s="1"/>
  <c r="F20" i="2"/>
  <c r="C18" i="7" s="1"/>
  <c r="F21" i="2"/>
  <c r="C19" i="7" s="1"/>
  <c r="F22" i="2"/>
  <c r="C20" i="7" s="1"/>
  <c r="F23" i="2"/>
  <c r="C21" i="7" s="1"/>
  <c r="F25" i="2"/>
  <c r="C23" i="7" s="1"/>
  <c r="F26" i="2"/>
  <c r="C24" i="7" s="1"/>
  <c r="F27" i="2"/>
  <c r="C25" i="7" s="1"/>
  <c r="F9" i="2"/>
  <c r="C7" i="7" s="1"/>
  <c r="M32" i="7"/>
  <c r="N32" i="7" s="1"/>
  <c r="J16" i="7"/>
  <c r="M16" i="7" s="1"/>
  <c r="Q16" i="7" s="1"/>
  <c r="J17" i="7"/>
  <c r="M17" i="7" s="1"/>
  <c r="Q17" i="7" s="1"/>
  <c r="J18" i="7"/>
  <c r="M18" i="7" s="1"/>
  <c r="Q18" i="7" s="1"/>
  <c r="J19" i="7"/>
  <c r="M19" i="7" s="1"/>
  <c r="V19" i="7" s="1"/>
  <c r="J20" i="7"/>
  <c r="M20" i="7" s="1"/>
  <c r="J21" i="7"/>
  <c r="M21" i="7" s="1"/>
  <c r="Q21" i="7" s="1"/>
  <c r="J15" i="7"/>
  <c r="M15" i="7" s="1"/>
  <c r="Q15" i="7" s="1"/>
  <c r="J8" i="7"/>
  <c r="M8" i="7" s="1"/>
  <c r="V8" i="7" s="1"/>
  <c r="J9" i="7"/>
  <c r="M9" i="7" s="1"/>
  <c r="V9" i="7" s="1"/>
  <c r="J10" i="7"/>
  <c r="M10" i="7" s="1"/>
  <c r="Q10" i="7" s="1"/>
  <c r="J11" i="7"/>
  <c r="J12" i="7"/>
  <c r="M12" i="7" s="1"/>
  <c r="Q12" i="7" s="1"/>
  <c r="J13" i="7"/>
  <c r="M13" i="7" s="1"/>
  <c r="V13" i="7" s="1"/>
  <c r="J7" i="7"/>
  <c r="M7" i="7" s="1"/>
  <c r="V7" i="7" s="1"/>
  <c r="M11" i="7"/>
  <c r="V11" i="7" s="1"/>
  <c r="C40" i="2"/>
  <c r="G38" i="7" s="1"/>
  <c r="M38" i="7" s="1"/>
  <c r="C39" i="2"/>
  <c r="G37" i="7" s="1"/>
  <c r="C38" i="2"/>
  <c r="G36" i="7" s="1"/>
  <c r="F34" i="2"/>
  <c r="C32" i="7" s="1"/>
  <c r="F37" i="2" l="1"/>
  <c r="C35" i="7" s="1"/>
  <c r="Q11" i="7"/>
  <c r="G35" i="7"/>
  <c r="D33" i="7"/>
  <c r="E33" i="7" s="1"/>
  <c r="D32" i="7"/>
  <c r="E32" i="7" s="1"/>
  <c r="M36" i="7"/>
  <c r="Q9" i="7"/>
  <c r="M37" i="7"/>
  <c r="Q8" i="7"/>
  <c r="V20" i="7"/>
  <c r="Q20" i="7"/>
  <c r="Q19" i="7"/>
  <c r="Q7" i="7"/>
  <c r="Q13" i="7"/>
  <c r="V15" i="7"/>
  <c r="V21" i="7"/>
  <c r="V12" i="7"/>
  <c r="V18" i="7"/>
  <c r="V10" i="7"/>
  <c r="V16" i="7"/>
  <c r="V17" i="7"/>
  <c r="D40" i="2"/>
  <c r="H38" i="7" s="1"/>
  <c r="H37" i="7"/>
  <c r="D38" i="2"/>
  <c r="F38" i="2" s="1"/>
  <c r="C36" i="7" s="1"/>
  <c r="K16" i="7"/>
  <c r="B34" i="7"/>
  <c r="B26" i="7"/>
  <c r="M31" i="7"/>
  <c r="N31" i="7" s="1"/>
  <c r="M30" i="7"/>
  <c r="N30" i="7" s="1"/>
  <c r="M29" i="7"/>
  <c r="N29" i="7" s="1"/>
  <c r="M28" i="7"/>
  <c r="N28" i="7" s="1"/>
  <c r="B22" i="7"/>
  <c r="B14" i="7"/>
  <c r="B6" i="7"/>
  <c r="N18" i="7"/>
  <c r="N17" i="7"/>
  <c r="N16" i="7"/>
  <c r="M24" i="7"/>
  <c r="N24" i="7" s="1"/>
  <c r="M25" i="7"/>
  <c r="N25" i="7" s="1"/>
  <c r="M23" i="7"/>
  <c r="N23" i="7" s="1"/>
  <c r="N21" i="7"/>
  <c r="N19" i="7"/>
  <c r="N15" i="7"/>
  <c r="N10" i="7"/>
  <c r="N12" i="7"/>
  <c r="N13" i="7"/>
  <c r="N11" i="7"/>
  <c r="N9" i="7"/>
  <c r="N8" i="7"/>
  <c r="K10" i="7"/>
  <c r="K9" i="7"/>
  <c r="K8" i="7"/>
  <c r="K11" i="7"/>
  <c r="N7" i="7"/>
  <c r="H21" i="7"/>
  <c r="H20" i="7"/>
  <c r="H19" i="7"/>
  <c r="H18" i="7"/>
  <c r="H17" i="7"/>
  <c r="H16" i="7"/>
  <c r="H15" i="7"/>
  <c r="H8" i="7"/>
  <c r="H9" i="7"/>
  <c r="H10" i="7"/>
  <c r="H11" i="7"/>
  <c r="H12" i="7"/>
  <c r="H13" i="7"/>
  <c r="H7" i="7"/>
  <c r="H35" i="7" l="1"/>
  <c r="M35" i="7"/>
  <c r="N35" i="7" s="1"/>
  <c r="H36" i="7"/>
  <c r="N36" i="7"/>
  <c r="F40" i="2"/>
  <c r="C38" i="7" s="1"/>
  <c r="D29" i="7"/>
  <c r="E29" i="7" s="1"/>
  <c r="F31" i="2"/>
  <c r="C29" i="7" s="1"/>
  <c r="D30" i="7"/>
  <c r="E30" i="7" s="1"/>
  <c r="F32" i="2"/>
  <c r="C30" i="7" s="1"/>
  <c r="F33" i="2"/>
  <c r="C31" i="7" s="1"/>
  <c r="N38" i="7"/>
  <c r="F39" i="2"/>
  <c r="C37" i="7" s="1"/>
  <c r="F30" i="2"/>
  <c r="N37" i="7"/>
  <c r="K18" i="7"/>
  <c r="D31" i="7"/>
  <c r="E31" i="7" s="1"/>
  <c r="D28" i="7"/>
  <c r="E28" i="7" s="1"/>
  <c r="K17" i="7"/>
  <c r="W21" i="7"/>
  <c r="W17" i="7"/>
  <c r="W19" i="7"/>
  <c r="W15" i="7"/>
  <c r="W18" i="7"/>
  <c r="W20" i="7"/>
  <c r="W16" i="7"/>
  <c r="K19" i="7"/>
  <c r="K15" i="7"/>
  <c r="K20" i="7"/>
  <c r="N20" i="7"/>
  <c r="W13" i="7"/>
  <c r="W11" i="7"/>
  <c r="W9" i="7"/>
  <c r="K12" i="7"/>
  <c r="K13" i="7"/>
  <c r="W7" i="7"/>
  <c r="W12" i="7"/>
  <c r="W8" i="7"/>
  <c r="W10" i="7"/>
  <c r="H40" i="7" l="1"/>
  <c r="C8" i="1" s="1"/>
  <c r="C28" i="7"/>
  <c r="C40" i="7" s="1"/>
  <c r="F42" i="2"/>
  <c r="H7" i="12" s="1"/>
  <c r="N40" i="7"/>
  <c r="C10" i="1" s="1"/>
  <c r="E40" i="7"/>
  <c r="C7" i="1" s="1"/>
  <c r="K21" i="7"/>
  <c r="K7" i="7"/>
  <c r="O33" i="7" l="1"/>
  <c r="F33" i="7"/>
  <c r="O35" i="7"/>
  <c r="I35" i="7"/>
  <c r="F27" i="7"/>
  <c r="O27" i="7"/>
  <c r="O38" i="7"/>
  <c r="F32" i="7"/>
  <c r="O32" i="7"/>
  <c r="O17" i="7"/>
  <c r="F8" i="7"/>
  <c r="F7" i="7"/>
  <c r="I20" i="7"/>
  <c r="O7" i="7"/>
  <c r="L12" i="7"/>
  <c r="O12" i="7"/>
  <c r="F15" i="7"/>
  <c r="O20" i="7"/>
  <c r="F13" i="7"/>
  <c r="I13" i="7"/>
  <c r="O25" i="7"/>
  <c r="F24" i="7"/>
  <c r="F11" i="7"/>
  <c r="F9" i="7"/>
  <c r="I7" i="7"/>
  <c r="L8" i="7"/>
  <c r="I19" i="7"/>
  <c r="O10" i="7"/>
  <c r="I10" i="7"/>
  <c r="L10" i="7"/>
  <c r="F12" i="7"/>
  <c r="F10" i="7"/>
  <c r="I12" i="7"/>
  <c r="L13" i="7"/>
  <c r="L15" i="7"/>
  <c r="O21" i="7"/>
  <c r="O24" i="7"/>
  <c r="F29" i="7"/>
  <c r="F30" i="7"/>
  <c r="F31" i="7"/>
  <c r="F20" i="7"/>
  <c r="F23" i="7"/>
  <c r="F25" i="7"/>
  <c r="F21" i="7"/>
  <c r="I9" i="7"/>
  <c r="I8" i="7"/>
  <c r="I21" i="7"/>
  <c r="I18" i="7"/>
  <c r="L17" i="7"/>
  <c r="I16" i="7"/>
  <c r="L18" i="7"/>
  <c r="O18" i="7"/>
  <c r="O11" i="7"/>
  <c r="O15" i="7"/>
  <c r="O8" i="7"/>
  <c r="F28" i="7"/>
  <c r="O30" i="7"/>
  <c r="I38" i="7"/>
  <c r="F16" i="7"/>
  <c r="F19" i="7"/>
  <c r="F18" i="7"/>
  <c r="F17" i="7"/>
  <c r="I11" i="7"/>
  <c r="I15" i="7"/>
  <c r="I17" i="7"/>
  <c r="L20" i="7"/>
  <c r="L16" i="7"/>
  <c r="L19" i="7"/>
  <c r="L11" i="7"/>
  <c r="L9" i="7"/>
  <c r="O13" i="7"/>
  <c r="O16" i="7"/>
  <c r="O9" i="7"/>
  <c r="O19" i="7"/>
  <c r="O23" i="7"/>
  <c r="O28" i="7"/>
  <c r="O29" i="7"/>
  <c r="I37" i="7"/>
  <c r="C6" i="1"/>
  <c r="E7" i="1" s="1"/>
  <c r="O36" i="7"/>
  <c r="L21" i="7"/>
  <c r="O31" i="7"/>
  <c r="L7" i="7"/>
  <c r="K40" i="7"/>
  <c r="C9" i="1" s="1"/>
  <c r="C11" i="1" s="1"/>
  <c r="H11" i="12" s="1"/>
  <c r="O37" i="7"/>
  <c r="I36" i="7"/>
  <c r="E11" i="1" l="1"/>
  <c r="I40" i="7"/>
  <c r="O40" i="7"/>
  <c r="E6" i="1"/>
  <c r="E8" i="1"/>
  <c r="E10" i="1"/>
  <c r="E9" i="1"/>
  <c r="D42" i="7"/>
  <c r="F42" i="7" s="1"/>
  <c r="L40" i="7"/>
  <c r="F40" i="7"/>
</calcChain>
</file>

<file path=xl/sharedStrings.xml><?xml version="1.0" encoding="utf-8"?>
<sst xmlns="http://schemas.openxmlformats.org/spreadsheetml/2006/main" count="230" uniqueCount="151">
  <si>
    <t>INSTRUCTIONS</t>
  </si>
  <si>
    <t>UNITS</t>
  </si>
  <si>
    <t>GPD</t>
  </si>
  <si>
    <t>FT2</t>
  </si>
  <si>
    <t>ACRE</t>
  </si>
  <si>
    <t>NUMERICAL UNIT</t>
  </si>
  <si>
    <t>DU</t>
  </si>
  <si>
    <t>NOTES</t>
  </si>
  <si>
    <t>OUTDOOR USE</t>
  </si>
  <si>
    <t>OUTDOOR CONSUMPTIVE USE (GPD)</t>
  </si>
  <si>
    <t>OUTDOOR CONSUMPTIVE USE (% OF TOTAL USE)</t>
  </si>
  <si>
    <t xml:space="preserve">Resort Hotel </t>
  </si>
  <si>
    <t xml:space="preserve">2 – 2.9 DU/ac </t>
  </si>
  <si>
    <t xml:space="preserve">3 – 7.9 DU/ac </t>
  </si>
  <si>
    <t xml:space="preserve">8 – 11.9 DU/ac </t>
  </si>
  <si>
    <t xml:space="preserve">12 – 22 DU/ac </t>
  </si>
  <si>
    <t xml:space="preserve">High Density Condominium (condo) </t>
  </si>
  <si>
    <t>Restaurant</t>
  </si>
  <si>
    <t>Commercial/Retail</t>
  </si>
  <si>
    <t>Office</t>
  </si>
  <si>
    <t>Institutional</t>
  </si>
  <si>
    <t xml:space="preserve">Industrial </t>
  </si>
  <si>
    <t>Research and Development</t>
  </si>
  <si>
    <t>Natural Area Open Space</t>
  </si>
  <si>
    <t>Developed Open Space - Parks</t>
  </si>
  <si>
    <t>Developed Open Space- Golf Course</t>
  </si>
  <si>
    <t>WATER USE DEVELOPMENT TYPE/CATEGORY</t>
  </si>
  <si>
    <t>NOTES:</t>
  </si>
  <si>
    <t>Category: Special Use Areas</t>
  </si>
  <si>
    <t>ROOM</t>
  </si>
  <si>
    <t>Zero water demand</t>
  </si>
  <si>
    <t>TOTALS</t>
  </si>
  <si>
    <t xml:space="preserve">&lt; 2 DU/ac) </t>
  </si>
  <si>
    <t>&lt; 2 DU/ac</t>
  </si>
  <si>
    <t>Commerical High Rise</t>
  </si>
  <si>
    <t>% OF INDOOR TOTAL TO SEWER</t>
  </si>
  <si>
    <t>SEWER FLOWS ASSUME 15% OF INDOOR WATER CONSUMED. 40/STUDENTS PER ACRE(PUEBLO ELEMENTARY=15ACRES &amp; 600 STUDENTS). DS&amp;PM SEWER =50GPD PER STUDENT, THUS 2,000 GPD/ACRE IS SEWER DEMAND (RESULTS IN NEGATIVE VALUE)</t>
  </si>
  <si>
    <t>BELOW: WATER USE DEVELOPMENT TYPE/CATEGORY</t>
  </si>
  <si>
    <t>TO RIGHT:WATER USE ALLOCATION----&gt;</t>
  </si>
  <si>
    <t>Category: Residential/ Commerical Residential/ Hotel</t>
  </si>
  <si>
    <t>Category: Commerical/ Other</t>
  </si>
  <si>
    <t>INPUT APPLICABLE QUANTITY FOR DEVELOPMENT IN THIS COLUMN</t>
  </si>
  <si>
    <t>Includes site amenities such as 1 "standard" restaurant w/ associated dedicated kitchen, laundry service, landscaping, fountains, and 1 medium capacity pool. Large event venues/kitchens or multiple/large pools and multiple restaurants are not included.</t>
  </si>
  <si>
    <t>Medium pool (15k to 30k gallons)</t>
  </si>
  <si>
    <t>Small pool or spa  (under 15k gallons)</t>
  </si>
  <si>
    <t>EA</t>
  </si>
  <si>
    <t>AMOUNT</t>
  </si>
  <si>
    <t>SEWER FLOW IS SUBTRACTED FROM OUTDOOR CONSUMPTIVE USE SINCE ALL BACKWASH FLOWS GO TO SEWER</t>
  </si>
  <si>
    <t>% OF TOTAL USE</t>
  </si>
  <si>
    <t>A. TOTAL DAILY AVERAGE WATER USE</t>
  </si>
  <si>
    <t>B. OUTDOOR CONSUMPTIVE USE</t>
  </si>
  <si>
    <t>C. TOTAL INDOOR USE</t>
  </si>
  <si>
    <t>D. INDOOR CONSUMPTIVE USE</t>
  </si>
  <si>
    <t>E. WASTEWATER TO SEWER</t>
  </si>
  <si>
    <t>USE CATEGORY</t>
  </si>
  <si>
    <t>Total Bermuda Turf Area</t>
  </si>
  <si>
    <t>Total Overseeded Turf Area</t>
  </si>
  <si>
    <t>per IBC highrise is at or over 75 feet to highest finished floor</t>
  </si>
  <si>
    <t>% OF TOTAL USE TO SEWER</t>
  </si>
  <si>
    <t>none</t>
  </si>
  <si>
    <t>Input Indoor consumptive value used</t>
  </si>
  <si>
    <t>Ref. DS&amp;PM sewer value (gpd/unit)</t>
  </si>
  <si>
    <t>Percent of DS&amp;PM sewer value</t>
  </si>
  <si>
    <t>Note</t>
  </si>
  <si>
    <t>8% min</t>
  </si>
  <si>
    <t>15% max</t>
  </si>
  <si>
    <t>Category: Filter Backwash Flows &amp; Make-up Water from Pools &amp; Spas (rapid sand filters)</t>
  </si>
  <si>
    <t>F. TOTAL CONSUMPTIVE USE (NET USE)</t>
  </si>
  <si>
    <t>WASTEWATER (% OF TOTAL USE)</t>
  </si>
  <si>
    <t>AVERAGE UNIT WATER USE PER DS&amp;PM CH. 6 (GPD/UNIT)</t>
  </si>
  <si>
    <t>TOTAL AVERAGE WATER USE (GPD)</t>
  </si>
  <si>
    <t>A. TOTAL AVERAGE DAILY WATER USE FOR THIS DEVELOPMENT</t>
  </si>
  <si>
    <t>CALCULATION NOTES</t>
  </si>
  <si>
    <t xml:space="preserve">A=B+C, C=D+E, F=B+D
</t>
  </si>
  <si>
    <r>
      <rPr>
        <b/>
        <u/>
        <sz val="14"/>
        <color theme="1"/>
        <rFont val="Calibri"/>
        <family val="2"/>
        <scheme val="minor"/>
      </rPr>
      <t>A. TOTAL</t>
    </r>
    <r>
      <rPr>
        <b/>
        <sz val="14"/>
        <color theme="1"/>
        <rFont val="Calibri"/>
        <family val="2"/>
        <scheme val="minor"/>
      </rPr>
      <t xml:space="preserve"> AVERAGE WATER USE (GPD)</t>
    </r>
  </si>
  <si>
    <r>
      <t xml:space="preserve">C. AVERAGE INDOOR </t>
    </r>
    <r>
      <rPr>
        <b/>
        <u/>
        <sz val="14"/>
        <color theme="1"/>
        <rFont val="Calibri"/>
        <family val="2"/>
        <scheme val="minor"/>
      </rPr>
      <t>TOTAL</t>
    </r>
    <r>
      <rPr>
        <b/>
        <sz val="14"/>
        <color theme="1"/>
        <rFont val="Calibri"/>
        <family val="2"/>
        <scheme val="minor"/>
      </rPr>
      <t xml:space="preserve"> WATER USE</t>
    </r>
    <r>
      <rPr>
        <b/>
        <vertAlign val="superscript"/>
        <sz val="14"/>
        <color theme="1"/>
        <rFont val="Calibri"/>
        <family val="2"/>
        <scheme val="minor"/>
      </rPr>
      <t>(1)</t>
    </r>
  </si>
  <si>
    <r>
      <t xml:space="preserve">D. AVERAGE INDOOR </t>
    </r>
    <r>
      <rPr>
        <b/>
        <u/>
        <sz val="14"/>
        <color theme="1"/>
        <rFont val="Calibri"/>
        <family val="2"/>
        <scheme val="minor"/>
      </rPr>
      <t xml:space="preserve">CONSUMPTIVE </t>
    </r>
    <r>
      <rPr>
        <b/>
        <sz val="14"/>
        <color theme="1"/>
        <rFont val="Calibri"/>
        <family val="2"/>
        <scheme val="minor"/>
      </rPr>
      <t>WATER USE</t>
    </r>
    <r>
      <rPr>
        <b/>
        <vertAlign val="superscript"/>
        <sz val="14"/>
        <color theme="1"/>
        <rFont val="Calibri"/>
        <family val="2"/>
        <scheme val="minor"/>
      </rPr>
      <t>(2)</t>
    </r>
  </si>
  <si>
    <t>WASTEWATER FLOW (GPD/UNIT)</t>
  </si>
  <si>
    <t>WASTEWATER FLOW (GPD)</t>
  </si>
  <si>
    <r>
      <t>E. AVERAGE WASTEWATER FLOWS TO SEWER</t>
    </r>
    <r>
      <rPr>
        <b/>
        <vertAlign val="superscript"/>
        <sz val="14"/>
        <color theme="1"/>
        <rFont val="Calibri"/>
        <family val="2"/>
        <scheme val="minor"/>
      </rPr>
      <t>(3)</t>
    </r>
  </si>
  <si>
    <t>Large pool (above 30k to 60k gallons)</t>
  </si>
  <si>
    <t>Extra large pool (60k to 100k gallons)</t>
  </si>
  <si>
    <t>Based on once per 7 day backwash @ 50,100, and 150gpm, respectively for each size pool category for 8 minute duration. Quantity values used from pool input values above.</t>
  </si>
  <si>
    <t>OF TOTAL USE</t>
  </si>
  <si>
    <t>Evaporative Cooling/ Cooling Towers</t>
  </si>
  <si>
    <t>Category: Evaporation from Swimming Pools/Spas, Cooling, Turf Area Irrigation, Other Outdoor Consumptive Uses</t>
  </si>
  <si>
    <r>
      <t xml:space="preserve">B. AVERAGE OUTDOOR </t>
    </r>
    <r>
      <rPr>
        <b/>
        <u/>
        <sz val="14"/>
        <color theme="1"/>
        <rFont val="Calibri"/>
        <family val="2"/>
        <scheme val="minor"/>
      </rPr>
      <t>CONSUMPTIVE</t>
    </r>
    <r>
      <rPr>
        <b/>
        <sz val="14"/>
        <color theme="1"/>
        <rFont val="Calibri"/>
        <family val="2"/>
        <scheme val="minor"/>
      </rPr>
      <t xml:space="preserve"> WATER USE</t>
    </r>
    <r>
      <rPr>
        <b/>
        <vertAlign val="superscript"/>
        <sz val="14"/>
        <color theme="1"/>
        <rFont val="Calibri"/>
        <family val="2"/>
        <scheme val="minor"/>
      </rPr>
      <t>(1)</t>
    </r>
  </si>
  <si>
    <t>F. TOTAL CONSUMPTIVE/NET WATER USE FOR THIS DEVELOPMENT (B. + D.)</t>
  </si>
  <si>
    <t>NOTES:
GPD=GALLONS PER DAY
ALL VALUES ARE FOR AVERAGE WATER USE ANALYSIS ONLY. THIS CALCULATION IS NOT INTENDED TO BE USED FOR INFRASTRUCTURE DESIGN, PEAK FLOW DETERMINATION, OR SYSTEM CAPACITY ANALYSIS. FOR THESE PURPOSES REFER TO CH.6 &amp; 7 OF THE CITY'S DESIGN STANDARDS AND POLICY MANUAL FOR THE RESPECTIVE DESIGN VALUES, PEAKING FACTORS, AND DESIGN REQUIREMENTS.</t>
  </si>
  <si>
    <t>(1) PER 2018 DS&amp;PM CHAPTER 6, FIGURE 6-1.2
(2) VARIES FROM 8% TO 15%, TYPICALLY 10%
(3) WASTEWATER FLOWS TO SEWER ARE CALCULATED AS C. MINUS D.
GPD=GALLONS PER DAY, DU=DWELLING UNIT, FT2=SQUARE FEET, AC=ACRE, EA=EACH UNIT
NONE OF THE VALUES OR CALCULATIONS HEREIN ARE INTENDED TO BE USED FOR INFRASTRUCTURE DESIGN, PEAK FLOW DETERMINATION, OR SYSTEM CAPACITY ANALYSIS. FOR THESE PURPOSES REFER TO CH.6 &amp; 7 OF THE CITY'S DESIGN STANDARDS AND POLICY MANUAL FOR THE RESPECTIVE DESIGN VALUES AND PEAKING FACTORS.</t>
  </si>
  <si>
    <t>DESCRIPTION</t>
  </si>
  <si>
    <t>Water features have proven to be a source of leaks.  Submetering that is capable of alerts to the building monitoring system greatly reduce water waste</t>
  </si>
  <si>
    <t>Earthworks, such as berms and basins, are encouraged to promote passive rainwater harvesting for planned plants and trees</t>
  </si>
  <si>
    <t xml:space="preserve">Arizona high evapotranspiration rates, cooling towers use significantly more water here than in other states. Monitory systems can optimize this water use. </t>
  </si>
  <si>
    <t>Pools and splashpad can be a source of leaks.  Submetering that is capable of alerts to the building monitoring system greatly reduce water waste.  Timers on Splash pads</t>
  </si>
  <si>
    <t>Decorative water features outdoors can be a source of water use that is not functional</t>
  </si>
  <si>
    <t>Functional grass turf are areas used for congregation of large number of people and should be limited to up to 10% of the landscapable area</t>
  </si>
  <si>
    <t>Annual mean ETo = 74.75 in as collected by AZ Met. Kc = 1.1. Average pool size of 400 sq. ft. loses 20,490 gallons per year, or 51.23 gallons per sq ft, not including backwashing or leaks, per AMWUA calculator.</t>
  </si>
  <si>
    <t>1 sq ft of non-overseeded turf at 60% efficiency with increased Kc  is 35 gallons per sq ft per year, per AMWUA calculator.</t>
  </si>
  <si>
    <t>1 sq ft of overseeded turf at 60% efficiency with increased Kc is 9 gallons per sq ft per year, per AMWUA calculator.</t>
  </si>
  <si>
    <t>TABLE 1: QUANTITY INPUT TABLE FOR THE DEVELOPMENT</t>
  </si>
  <si>
    <t>ENTER DEVELOPMENT NAME &amp; CITY REVIEW CASE NUMBER HERE</t>
  </si>
  <si>
    <t>TABLE INPUT VALUES LAST UPDATED:</t>
  </si>
  <si>
    <t>1. Submetering</t>
  </si>
  <si>
    <t>2. No outdoor water features</t>
  </si>
  <si>
    <t>3. Indoor water features submetered</t>
  </si>
  <si>
    <t>4. Limitation on functional turf grass</t>
  </si>
  <si>
    <t>6. Landscaped Rainwater harvesting</t>
  </si>
  <si>
    <t xml:space="preserve">7. Cooling tower controllers with monitoring technology </t>
  </si>
  <si>
    <t>8. Pools and splashpads submeters with monitoring technology</t>
  </si>
  <si>
    <t>X</t>
  </si>
  <si>
    <t>GPD=GALLONS PER DAY, DU=DWELLING UNITS, FT2=SQUARE FEET, AC=ACRE, EA=EACH UNIT, ETo=EVAPOTRANSPIRATION, Kc=CROP COEFFICIENT, AZMET=ARIZONA METEOROLOGICAL NETWORK, AMWUA=ARIZONA MUNICIPAL WATER USERS ASSOCIATION
NONE OF THE VALUES OR CALCULATIONS HEREIN ARE INTENDED TO BE USED FOR INFRASTRUCTURE DESIGN, PEAK FLOW DETERMINATION, OR SYSTEM CAPACITY ANALYSIS. FOR THESE PURPOSES REFER TO CH.6 &amp; 7 OF THE CITY'S DESIGN STANDARDS AND POLICY MANUAL FOR THE RESPECTIVE DESIGN VALUES AND PEAKING FACTORS.</t>
  </si>
  <si>
    <t>SECTION 2- IMPORTANT NOTES &amp; REQUIREMENTS</t>
  </si>
  <si>
    <t>SECTION 3- SPREADSHEET INSTRUCTIONS</t>
  </si>
  <si>
    <t>GUIDELINES FOR COMPLETING THE WATER DEMAND EXHIBIT</t>
  </si>
  <si>
    <t>Multi-family and mixed-use developments SUBMETER UNITS for leak detection and for occupants ability to manage their own water use</t>
  </si>
  <si>
    <t xml:space="preserve">INPUT DEVELOPMENT NAME, CASE NUMBER, AND QUANTITY VALUES TO DETERMINE TOTAL AVERAGE DAILY WATER USE PER THE 2018 DESIGN STANDARDS AND POLICY MANUAL (DS7PM) CHAPTER 6 USING GALLONS PER DAY (GPD) VALUES FROM FIGURE 6-1.2 </t>
  </si>
  <si>
    <t>TABLE 2: APPROVED SUPPLEMENTAL WATER CONSERVATION MEASURES</t>
  </si>
  <si>
    <t>5. Limitations on artificial turf</t>
  </si>
  <si>
    <t>MEASURE</t>
  </si>
  <si>
    <t>PROPOSED FOR THIS DEVELOPMENT (ENTER "X")</t>
  </si>
  <si>
    <t>Artificial turf is a large source of heat especially during summer months.</t>
  </si>
  <si>
    <t>Greywater systems and large areas of artificial turf are not recommended by water conservation. 
This list represents water conservation measures that the conservation office has approved and has shown to provide proven water savings.</t>
  </si>
  <si>
    <t xml:space="preserve"> IDENTIFY WATER CONSERVATION MEASURES ABOVE THOSE REQUIRED BY CITY CODE THAT THE DEVELOPMENT(S) PROPOSE TO IMPLEMENT. ENTER AN "X" FOR EACH PROPOSED MEASURE.</t>
  </si>
  <si>
    <t>WATER USE SUMMARY FOR THE DEVELOPMENT</t>
  </si>
  <si>
    <t xml:space="preserve">Baed on 1.50 cycles of concentration and average annual daily utilization of 68%. Water use is linear with respect to total cooling capacity tonnage. Based on US Dept of Energy Efficiency and Renewable Energy data. </t>
  </si>
  <si>
    <t>TOTAL COOLING TONNAGE</t>
  </si>
  <si>
    <t>SECTION 1- BASIS OF REQUIRED ANALYSIS</t>
  </si>
  <si>
    <t>Community pool demands not included here. Refer to separate category.</t>
  </si>
  <si>
    <t>gpd</t>
  </si>
  <si>
    <t>TABLE 5: DETAILED WATER USE BREAKDOWN FOR THE DEVELOPMENT</t>
  </si>
  <si>
    <t>TABLE 4: WATER USE SUMMARY</t>
  </si>
  <si>
    <t>Water Demand Exhibit Summary</t>
  </si>
  <si>
    <t>2. Net Water (NW) / Consumptive Use (gallons per day, gpd)</t>
  </si>
  <si>
    <t>1. Major City Revenues</t>
  </si>
  <si>
    <t>1. Total Estimated Water Use per Day on a Sustainable Basis (gallons per day, gpd)</t>
  </si>
  <si>
    <t>$/1,000 gallons</t>
  </si>
  <si>
    <t>2. Total Annual Output Impact</t>
  </si>
  <si>
    <t>4. Annual Economic Value of the Development on a per Gallon of Use Basis
(Applies to Commercial or Mixed Use, To be Completed by City)</t>
  </si>
  <si>
    <t>3. Proposed Water Conservation Measures Above Those Required By City Code</t>
  </si>
  <si>
    <r>
      <t xml:space="preserve">UNIT OUTDOOR </t>
    </r>
    <r>
      <rPr>
        <u/>
        <sz val="14"/>
        <color theme="0"/>
        <rFont val="Calibri"/>
        <family val="2"/>
        <scheme val="minor"/>
      </rPr>
      <t>CONSUMPTIVE</t>
    </r>
    <r>
      <rPr>
        <sz val="14"/>
        <color theme="0"/>
        <rFont val="Calibri"/>
        <family val="2"/>
        <scheme val="minor"/>
      </rPr>
      <t xml:space="preserve"> WATER USE (GPD/UNIT)</t>
    </r>
  </si>
  <si>
    <r>
      <t xml:space="preserve">UNIT </t>
    </r>
    <r>
      <rPr>
        <u/>
        <sz val="14"/>
        <color theme="0"/>
        <rFont val="Calibri"/>
        <family val="2"/>
        <scheme val="minor"/>
      </rPr>
      <t xml:space="preserve">TOTAL </t>
    </r>
    <r>
      <rPr>
        <sz val="14"/>
        <color theme="0"/>
        <rFont val="Calibri"/>
        <family val="2"/>
        <scheme val="minor"/>
      </rPr>
      <t xml:space="preserve">INDOOR  WATER USE (GPD/UNIT) </t>
    </r>
  </si>
  <si>
    <r>
      <t xml:space="preserve">INDOOR </t>
    </r>
    <r>
      <rPr>
        <u/>
        <sz val="14"/>
        <color theme="0"/>
        <rFont val="Calibri"/>
        <family val="2"/>
        <scheme val="minor"/>
      </rPr>
      <t>TOTAL</t>
    </r>
    <r>
      <rPr>
        <sz val="14"/>
        <color theme="0"/>
        <rFont val="Calibri"/>
        <family val="2"/>
        <scheme val="minor"/>
      </rPr>
      <t xml:space="preserve"> USE (GPD)</t>
    </r>
  </si>
  <si>
    <r>
      <t xml:space="preserve">INDOOR </t>
    </r>
    <r>
      <rPr>
        <u/>
        <sz val="14"/>
        <color theme="0"/>
        <rFont val="Calibri"/>
        <family val="2"/>
        <scheme val="minor"/>
      </rPr>
      <t>TOTAL</t>
    </r>
    <r>
      <rPr>
        <sz val="14"/>
        <color theme="0"/>
        <rFont val="Calibri"/>
        <family val="2"/>
        <scheme val="minor"/>
      </rPr>
      <t xml:space="preserve"> USE (% OF TOTAL USE)</t>
    </r>
  </si>
  <si>
    <r>
      <t xml:space="preserve">UNIT </t>
    </r>
    <r>
      <rPr>
        <u/>
        <sz val="14"/>
        <color theme="0"/>
        <rFont val="Calibri"/>
        <family val="2"/>
        <scheme val="minor"/>
      </rPr>
      <t xml:space="preserve">CONSUMPTIVE </t>
    </r>
    <r>
      <rPr>
        <sz val="14"/>
        <color theme="0"/>
        <rFont val="Calibri"/>
        <family val="2"/>
        <scheme val="minor"/>
      </rPr>
      <t xml:space="preserve">INDOOR  WATER USE (GPD/UNIT) </t>
    </r>
  </si>
  <si>
    <r>
      <t xml:space="preserve">INDOOR </t>
    </r>
    <r>
      <rPr>
        <u/>
        <sz val="14"/>
        <color theme="0"/>
        <rFont val="Calibri"/>
        <family val="2"/>
        <scheme val="minor"/>
      </rPr>
      <t>CONSUMPTIVE</t>
    </r>
    <r>
      <rPr>
        <sz val="14"/>
        <color theme="0"/>
        <rFont val="Calibri"/>
        <family val="2"/>
        <scheme val="minor"/>
      </rPr>
      <t xml:space="preserve"> USE (GPD)</t>
    </r>
  </si>
  <si>
    <r>
      <t xml:space="preserve">INDOOR </t>
    </r>
    <r>
      <rPr>
        <u/>
        <sz val="14"/>
        <color theme="0"/>
        <rFont val="Calibri"/>
        <family val="2"/>
        <scheme val="minor"/>
      </rPr>
      <t>CONSUMPTIVE</t>
    </r>
    <r>
      <rPr>
        <sz val="14"/>
        <color theme="0"/>
        <rFont val="Calibri"/>
        <family val="2"/>
        <scheme val="minor"/>
      </rPr>
      <t xml:space="preserve"> USE (% OF TOTAL USE)</t>
    </r>
  </si>
  <si>
    <r>
      <rPr>
        <b/>
        <sz val="12"/>
        <color theme="1"/>
        <rFont val="Calibri"/>
        <family val="2"/>
        <scheme val="minor"/>
      </rPr>
      <t>CITY OF SCOTTSDALE ADOPTED WATER-MANAGEMENT PRINCIPLES
Principle 4: Water and Land Use Management</t>
    </r>
    <r>
      <rPr>
        <sz val="12"/>
        <color theme="1"/>
        <rFont val="Calibri"/>
        <family val="2"/>
        <scheme val="minor"/>
      </rPr>
      <t xml:space="preserve">
Land use planning is based on the most recently adopted Scottsdale General Plan. The General Plan’s land use elements are to provide and preserve the quality of the City’s vision and physical environment while integrating the priorities and values set forth by the plan. Water is an essential component to this plan and future planning needs are based on the land use as laid out in the General Plan.  It is for this reason that changes to land use and the plan may impact Scottsdale Water’s obligation to provide long-term water resources and may alter its need to obtain additional supplies to meet new demands.  Long-term drought and climate change effects will also need to be considered in planning and growth. 
To ensure decisions on land use are made with consideration for the impact on water resources, the City has develop this policies that require any General Plan amendment or rezoning request that shows a water use above 100,000 gallons per day (excluding fire flow) to report the following information in this Water Demand Exhibit:
   1.     Total estimated water use per day on a sustained basis (Water Use)
   2.     Net water use (NW) as defined as NW = Water Use x (1 – (daily sewer flows/daily total water use)) 
   3.     Water conservation measures above those required by City code
   4.     For commercial or mixed-use development, the annual economic value of the development on a per gallon of use basis. 
The Water Demand Exhibit will be included with City Council or appropriate City Commission reports.
</t>
    </r>
  </si>
  <si>
    <t>SHEET CONTENTS LAST UPDATED:</t>
  </si>
  <si>
    <t xml:space="preserve">1. Tab 1: Type the development name and case number in the field at the top of table 1 e.g. The Mint Julip, 65-ZN-2022.
2. Tab 1: Enter the applicable unit quantities being proposed for the development in the grey cells (cells will turn from grey to blue).
3. Tab 2: Select the applicable conservation measures that will be implemented for this development(s) in the grey cells (cells will turn from grey to blue) .
4. Print a PDF of tabs 1 through 5 and submit for review as an appendix package in the submitted preliminary water basis of design report or master plan.
</t>
  </si>
  <si>
    <t xml:space="preserve"> 1. In accordance with the adopted water-management principals only complete and submit this calculation if the development will require a general plan amendment or rezoning.
2. In accordance with the adopted water-management principals include the water demand exhibit summary sheet within any relevant city council or city commission reports.
3. In order to provide the city with an opportunity to review and confirm relevant details with respect to water use and conservation a pdf of the completed sheets shown on tabs 1-4 shall be provided as an appendix in the preliminary water basis of design (bod) report, or master plan, that is provided to water resources for review and approval under the development review case review process. The appendix shall also be summarized and referenced within a dedicated section within the report or master plan. The water demand exhibit provided shall be consistent with the development described in the bod and relevant case review submittals.
4. Water conversation measures identified on tab 2 shall be coordinated with the water resources conservation department as part of the water basis of design report review process. The proposed conservation methods shall be approved by the water resources conservation department and as applicable will be stipulated as necessary requirements as part of the development approval process.
5. The annual economic value of the development (item 4 under the City's water demand exhibit) will be modeled by the city based on information submitted and accepted as part of the case review process based on the water use calculated within this calculation spreadsheet.
6. For questions contact Water Resources Administration at 480-312-5685.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</si>
</sst>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sz val="8"/>
      <name val="Calibri"/>
      <family val="2"/>
      <scheme val="minor"/>
    </font>
    <font>
      <b/>
      <sz val="12"/>
      <color theme="1"/>
      <name val="Calibri"/>
      <family val="2"/>
      <scheme val="minor"/>
    </font>
    <font>
      <b/>
      <vertAlign val="superscript"/>
      <sz val="14"/>
      <color theme="1"/>
      <name val="Calibri"/>
      <family val="2"/>
      <scheme val="minor"/>
    </font>
    <font>
      <b/>
      <sz val="20"/>
      <color theme="1"/>
      <name val="Calibri"/>
      <family val="2"/>
      <scheme val="minor"/>
    </font>
    <font>
      <sz val="11"/>
      <name val="Calibri"/>
      <family val="2"/>
      <scheme val="minor"/>
    </font>
    <font>
      <b/>
      <sz val="18"/>
      <color theme="1"/>
      <name val="Calibri"/>
      <family val="2"/>
      <scheme val="minor"/>
    </font>
    <font>
      <b/>
      <sz val="22"/>
      <color theme="1"/>
      <name val="Calibri"/>
      <family val="2"/>
      <scheme val="minor"/>
    </font>
    <font>
      <b/>
      <sz val="10"/>
      <color theme="1"/>
      <name val="Calibri"/>
      <family val="2"/>
      <scheme val="minor"/>
    </font>
    <font>
      <sz val="10"/>
      <color theme="1"/>
      <name val="Calibri"/>
      <family val="2"/>
      <scheme val="minor"/>
    </font>
    <font>
      <sz val="14"/>
      <name val="Calibri"/>
      <family val="2"/>
      <scheme val="minor"/>
    </font>
    <font>
      <sz val="11"/>
      <color theme="0"/>
      <name val="Calibri"/>
      <family val="2"/>
      <scheme val="minor"/>
    </font>
    <font>
      <b/>
      <sz val="20"/>
      <color theme="0"/>
      <name val="Calibri"/>
      <family val="2"/>
      <scheme val="minor"/>
    </font>
    <font>
      <b/>
      <sz val="14"/>
      <color theme="0"/>
      <name val="Calibri"/>
      <family val="2"/>
      <scheme val="minor"/>
    </font>
    <font>
      <sz val="14"/>
      <color theme="0"/>
      <name val="Calibri"/>
      <family val="2"/>
      <scheme val="minor"/>
    </font>
    <font>
      <b/>
      <sz val="14"/>
      <color rgb="FFFFFF00"/>
      <name val="Calibri"/>
      <family val="2"/>
      <scheme val="minor"/>
    </font>
    <font>
      <sz val="18"/>
      <color rgb="FFFFFF00"/>
      <name val="Calibri"/>
      <family val="2"/>
      <scheme val="minor"/>
    </font>
    <font>
      <b/>
      <sz val="16"/>
      <color theme="0"/>
      <name val="Calibri"/>
      <family val="2"/>
      <scheme val="minor"/>
    </font>
    <font>
      <b/>
      <sz val="12"/>
      <color theme="0"/>
      <name val="Calibri"/>
      <family val="2"/>
      <scheme val="minor"/>
    </font>
    <font>
      <sz val="18"/>
      <color theme="0"/>
      <name val="Calibri"/>
      <family val="2"/>
      <scheme val="minor"/>
    </font>
    <font>
      <sz val="14"/>
      <color rgb="FFFFFF00"/>
      <name val="Calibri"/>
      <family val="2"/>
      <scheme val="minor"/>
    </font>
    <font>
      <sz val="20"/>
      <color theme="0"/>
      <name val="Calibri"/>
      <family val="2"/>
      <scheme val="minor"/>
    </font>
    <font>
      <sz val="12"/>
      <name val="Calibri"/>
      <family val="2"/>
      <scheme val="minor"/>
    </font>
    <font>
      <u/>
      <sz val="14"/>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rgb="FFFFFFCC"/>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double">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bottom/>
      <diagonal/>
    </border>
    <border>
      <left style="thick">
        <color indexed="64"/>
      </left>
      <right/>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medium">
        <color indexed="64"/>
      </top>
      <bottom/>
      <diagonal/>
    </border>
    <border>
      <left style="double">
        <color indexed="64"/>
      </left>
      <right style="double">
        <color indexed="64"/>
      </right>
      <top/>
      <bottom style="double">
        <color indexed="64"/>
      </bottom>
      <diagonal/>
    </border>
    <border>
      <left/>
      <right style="double">
        <color indexed="64"/>
      </right>
      <top/>
      <bottom/>
      <diagonal/>
    </border>
    <border>
      <left style="double">
        <color indexed="64"/>
      </left>
      <right style="double">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diagonal/>
    </border>
    <border>
      <left style="thick">
        <color indexed="64"/>
      </left>
      <right style="medium">
        <color indexed="64"/>
      </right>
      <top style="medium">
        <color indexed="64"/>
      </top>
      <bottom style="double">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bottom/>
      <diagonal/>
    </border>
    <border>
      <left style="thick">
        <color auto="1"/>
      </left>
      <right style="thick">
        <color auto="1"/>
      </right>
      <top style="thick">
        <color auto="1"/>
      </top>
      <bottom style="thick">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8">
    <xf numFmtId="0" fontId="0" fillId="0" borderId="0" xfId="0"/>
    <xf numFmtId="0" fontId="0" fillId="0" borderId="1" xfId="0" applyBorder="1"/>
    <xf numFmtId="0" fontId="2" fillId="0" borderId="0" xfId="0" applyFont="1"/>
    <xf numFmtId="0" fontId="3" fillId="0" borderId="0" xfId="0" applyFont="1"/>
    <xf numFmtId="0" fontId="0" fillId="0" borderId="8" xfId="0" applyBorder="1"/>
    <xf numFmtId="165" fontId="0" fillId="0" borderId="7" xfId="1" applyNumberFormat="1"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165" fontId="0" fillId="0" borderId="1" xfId="1" applyNumberFormat="1" applyFont="1" applyFill="1" applyBorder="1" applyAlignment="1">
      <alignment horizontal="center" vertical="center"/>
    </xf>
    <xf numFmtId="0" fontId="3" fillId="0" borderId="0" xfId="0" applyFont="1" applyAlignment="1">
      <alignment vertical="top"/>
    </xf>
    <xf numFmtId="164" fontId="0" fillId="0" borderId="7"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4" borderId="13" xfId="0" applyFill="1" applyBorder="1"/>
    <xf numFmtId="165" fontId="0" fillId="4" borderId="13" xfId="1" applyNumberFormat="1" applyFont="1" applyFill="1" applyBorder="1" applyAlignment="1">
      <alignment horizontal="center" vertical="center"/>
    </xf>
    <xf numFmtId="164" fontId="0" fillId="4" borderId="13" xfId="1" applyNumberFormat="1" applyFont="1" applyFill="1" applyBorder="1" applyAlignment="1">
      <alignment horizontal="center" vertical="center"/>
    </xf>
    <xf numFmtId="166" fontId="0" fillId="4" borderId="13" xfId="2" applyNumberFormat="1" applyFont="1" applyFill="1" applyBorder="1" applyAlignment="1">
      <alignment horizontal="center" vertical="center"/>
    </xf>
    <xf numFmtId="9" fontId="0" fillId="0" borderId="0" xfId="2" applyFont="1"/>
    <xf numFmtId="9" fontId="0" fillId="0" borderId="0" xfId="0" applyNumberFormat="1"/>
    <xf numFmtId="43" fontId="0" fillId="0" borderId="0" xfId="0" applyNumberFormat="1"/>
    <xf numFmtId="164" fontId="0" fillId="0" borderId="22" xfId="1" applyNumberFormat="1" applyFont="1" applyFill="1" applyBorder="1" applyAlignment="1">
      <alignment horizontal="center" vertical="center"/>
    </xf>
    <xf numFmtId="166" fontId="0" fillId="0" borderId="20" xfId="2" applyNumberFormat="1" applyFont="1" applyFill="1" applyBorder="1" applyAlignment="1">
      <alignment horizontal="center" vertical="center"/>
    </xf>
    <xf numFmtId="164" fontId="0" fillId="0" borderId="23" xfId="1" applyNumberFormat="1" applyFont="1" applyFill="1" applyBorder="1" applyAlignment="1">
      <alignment horizontal="center" vertical="center"/>
    </xf>
    <xf numFmtId="43" fontId="0" fillId="0" borderId="22" xfId="1" applyFont="1" applyFill="1" applyBorder="1" applyAlignment="1">
      <alignment horizontal="center" vertical="center"/>
    </xf>
    <xf numFmtId="43" fontId="0" fillId="0" borderId="23" xfId="1" applyFont="1" applyFill="1" applyBorder="1" applyAlignment="1">
      <alignment horizontal="center" vertical="center"/>
    </xf>
    <xf numFmtId="164" fontId="0" fillId="0" borderId="24" xfId="1" applyNumberFormat="1" applyFont="1" applyFill="1" applyBorder="1" applyAlignment="1">
      <alignment horizontal="center" vertical="center"/>
    </xf>
    <xf numFmtId="166" fontId="0" fillId="0" borderId="25" xfId="2" applyNumberFormat="1" applyFont="1" applyFill="1" applyBorder="1" applyAlignment="1">
      <alignment horizontal="center" vertical="center"/>
    </xf>
    <xf numFmtId="0" fontId="3" fillId="4" borderId="24" xfId="0" applyFont="1" applyFill="1" applyBorder="1" applyAlignment="1">
      <alignment horizontal="center" vertical="center" wrapText="1"/>
    </xf>
    <xf numFmtId="0" fontId="0" fillId="0" borderId="27" xfId="0" applyBorder="1"/>
    <xf numFmtId="0" fontId="0" fillId="0" borderId="24" xfId="0" applyBorder="1"/>
    <xf numFmtId="0" fontId="0" fillId="0" borderId="23" xfId="0" applyBorder="1" applyAlignment="1">
      <alignment horizontal="left" vertical="center" wrapText="1"/>
    </xf>
    <xf numFmtId="0" fontId="0" fillId="0" borderId="23" xfId="0" applyBorder="1"/>
    <xf numFmtId="164" fontId="0" fillId="0" borderId="23" xfId="1" applyNumberFormat="1" applyFont="1" applyBorder="1" applyAlignment="1">
      <alignment horizontal="center" vertical="center"/>
    </xf>
    <xf numFmtId="164" fontId="0" fillId="0" borderId="22" xfId="1" applyNumberFormat="1" applyFont="1" applyBorder="1" applyAlignment="1">
      <alignment horizontal="center" vertical="center"/>
    </xf>
    <xf numFmtId="164" fontId="0" fillId="0" borderId="24" xfId="1" applyNumberFormat="1" applyFont="1" applyBorder="1" applyAlignment="1">
      <alignment horizontal="center" vertical="center"/>
    </xf>
    <xf numFmtId="43" fontId="0" fillId="0" borderId="24" xfId="1" applyFont="1" applyFill="1" applyBorder="1" applyAlignment="1">
      <alignment horizontal="center" vertical="center" wrapText="1"/>
    </xf>
    <xf numFmtId="165" fontId="0" fillId="0" borderId="24" xfId="1" applyNumberFormat="1" applyFont="1" applyFill="1" applyBorder="1" applyAlignment="1">
      <alignment horizontal="center" vertical="center"/>
    </xf>
    <xf numFmtId="166" fontId="0" fillId="0" borderId="20" xfId="2" applyNumberFormat="1" applyFont="1" applyBorder="1" applyAlignment="1">
      <alignment horizontal="center" vertical="center"/>
    </xf>
    <xf numFmtId="43" fontId="0" fillId="4" borderId="13" xfId="1" applyFont="1" applyFill="1" applyBorder="1" applyAlignment="1">
      <alignment horizontal="center" vertical="center"/>
    </xf>
    <xf numFmtId="43" fontId="0" fillId="0" borderId="24" xfId="1" applyFont="1" applyFill="1" applyBorder="1" applyAlignment="1">
      <alignment horizontal="center" vertical="center"/>
    </xf>
    <xf numFmtId="165" fontId="0" fillId="0" borderId="23" xfId="1" applyNumberFormat="1" applyFont="1" applyFill="1" applyBorder="1" applyAlignment="1">
      <alignment horizontal="center" vertical="center"/>
    </xf>
    <xf numFmtId="165" fontId="0" fillId="0" borderId="1" xfId="1" applyNumberFormat="1" applyFont="1" applyBorder="1"/>
    <xf numFmtId="165" fontId="0" fillId="0" borderId="8" xfId="1" applyNumberFormat="1" applyFont="1" applyBorder="1"/>
    <xf numFmtId="0" fontId="0" fillId="0" borderId="30" xfId="0" applyBorder="1"/>
    <xf numFmtId="165" fontId="0" fillId="0" borderId="30" xfId="1" applyNumberFormat="1" applyFont="1" applyBorder="1"/>
    <xf numFmtId="165" fontId="0" fillId="6" borderId="1" xfId="1" applyNumberFormat="1" applyFont="1" applyFill="1" applyBorder="1"/>
    <xf numFmtId="0" fontId="0" fillId="6" borderId="1" xfId="0" applyFill="1" applyBorder="1"/>
    <xf numFmtId="166" fontId="0" fillId="0" borderId="8" xfId="2" applyNumberFormat="1" applyFont="1" applyBorder="1"/>
    <xf numFmtId="166" fontId="0" fillId="0" borderId="30" xfId="2" applyNumberFormat="1" applyFont="1" applyBorder="1"/>
    <xf numFmtId="166" fontId="0" fillId="0" borderId="1" xfId="2" applyNumberFormat="1" applyFont="1" applyBorder="1"/>
    <xf numFmtId="166" fontId="0" fillId="6" borderId="1" xfId="2" applyNumberFormat="1" applyFont="1" applyFill="1" applyBorder="1"/>
    <xf numFmtId="166" fontId="0" fillId="0" borderId="0" xfId="2" applyNumberFormat="1" applyFont="1" applyFill="1" applyBorder="1" applyAlignment="1">
      <alignment horizontal="center" vertical="center"/>
    </xf>
    <xf numFmtId="0" fontId="0" fillId="0" borderId="0" xfId="2" applyNumberFormat="1" applyFont="1" applyFill="1" applyBorder="1" applyAlignment="1">
      <alignment horizontal="center" vertical="center"/>
    </xf>
    <xf numFmtId="0" fontId="3"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66" fontId="4" fillId="0" borderId="0" xfId="2" applyNumberFormat="1" applyFont="1" applyFill="1" applyBorder="1" applyAlignment="1">
      <alignment horizontal="right"/>
    </xf>
    <xf numFmtId="43" fontId="0" fillId="0" borderId="0" xfId="2" applyNumberFormat="1" applyFont="1" applyFill="1" applyBorder="1" applyAlignment="1">
      <alignment horizontal="center" vertical="center"/>
    </xf>
    <xf numFmtId="0" fontId="0" fillId="0" borderId="0" xfId="0" applyAlignment="1">
      <alignment wrapText="1"/>
    </xf>
    <xf numFmtId="9" fontId="0" fillId="0" borderId="0" xfId="2" applyFont="1" applyFill="1" applyBorder="1" applyAlignment="1">
      <alignment horizontal="center" vertical="center"/>
    </xf>
    <xf numFmtId="10" fontId="0" fillId="0" borderId="0" xfId="2" applyNumberFormat="1" applyFont="1" applyFill="1" applyBorder="1" applyAlignment="1">
      <alignment horizontal="center" vertical="center"/>
    </xf>
    <xf numFmtId="0" fontId="0" fillId="2" borderId="0" xfId="0" applyFill="1" applyAlignment="1">
      <alignment wrapText="1"/>
    </xf>
    <xf numFmtId="0" fontId="0" fillId="0" borderId="14" xfId="0" applyBorder="1"/>
    <xf numFmtId="0" fontId="4" fillId="0" borderId="0" xfId="0" applyFont="1" applyAlignment="1">
      <alignment horizontal="center" vertical="center" wrapText="1"/>
    </xf>
    <xf numFmtId="0" fontId="5" fillId="0" borderId="1" xfId="0" applyFont="1" applyBorder="1" applyAlignment="1">
      <alignment horizontal="center" vertical="center"/>
    </xf>
    <xf numFmtId="165" fontId="5" fillId="0" borderId="1" xfId="1" applyNumberFormat="1" applyFont="1" applyBorder="1" applyAlignment="1">
      <alignment horizontal="center" vertical="center"/>
    </xf>
    <xf numFmtId="43" fontId="5" fillId="0" borderId="1" xfId="1" applyFont="1" applyBorder="1" applyAlignment="1">
      <alignment horizontal="center" vertical="center"/>
    </xf>
    <xf numFmtId="0" fontId="9" fillId="0" borderId="0" xfId="0" applyFont="1" applyAlignment="1">
      <alignment vertical="top"/>
    </xf>
    <xf numFmtId="165" fontId="6" fillId="3" borderId="12" xfId="1" applyNumberFormat="1" applyFont="1" applyFill="1" applyBorder="1" applyAlignment="1">
      <alignment horizontal="center" vertical="center"/>
    </xf>
    <xf numFmtId="0" fontId="0" fillId="4" borderId="14" xfId="0" applyFill="1" applyBorder="1"/>
    <xf numFmtId="0" fontId="0" fillId="4" borderId="13" xfId="0" applyFill="1" applyBorder="1" applyAlignment="1">
      <alignment vertical="center"/>
    </xf>
    <xf numFmtId="164" fontId="0" fillId="0" borderId="6" xfId="1" applyNumberFormat="1" applyFont="1" applyFill="1" applyBorder="1" applyAlignment="1">
      <alignment horizontal="center" vertical="center"/>
    </xf>
    <xf numFmtId="166" fontId="0" fillId="0" borderId="2" xfId="2" applyNumberFormat="1" applyFont="1" applyFill="1" applyBorder="1" applyAlignment="1">
      <alignment horizontal="center" vertical="center"/>
    </xf>
    <xf numFmtId="165" fontId="0" fillId="0" borderId="11" xfId="1" applyNumberFormat="1" applyFont="1" applyFill="1" applyBorder="1" applyAlignment="1">
      <alignment horizontal="center" vertical="center"/>
    </xf>
    <xf numFmtId="164" fontId="0" fillId="0" borderId="3" xfId="1" applyNumberFormat="1" applyFont="1" applyBorder="1" applyAlignment="1">
      <alignment horizontal="center" vertical="center"/>
    </xf>
    <xf numFmtId="43" fontId="0" fillId="0" borderId="6"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3" xfId="1" applyFont="1" applyBorder="1" applyAlignment="1">
      <alignment horizontal="center" vertical="center"/>
    </xf>
    <xf numFmtId="164" fontId="0" fillId="0" borderId="6" xfId="1" applyNumberFormat="1" applyFont="1" applyBorder="1" applyAlignment="1">
      <alignment horizontal="center" vertical="center"/>
    </xf>
    <xf numFmtId="164" fontId="0" fillId="0" borderId="12" xfId="1" applyNumberFormat="1" applyFont="1" applyBorder="1" applyAlignment="1">
      <alignment horizontal="center" vertical="center"/>
    </xf>
    <xf numFmtId="166" fontId="0" fillId="0" borderId="25" xfId="2" applyNumberFormat="1" applyFont="1" applyBorder="1" applyAlignment="1">
      <alignment horizontal="center" vertical="center"/>
    </xf>
    <xf numFmtId="0" fontId="9" fillId="0" borderId="30" xfId="0" applyFont="1" applyBorder="1"/>
    <xf numFmtId="165" fontId="9" fillId="0" borderId="30" xfId="1" applyNumberFormat="1" applyFont="1" applyBorder="1"/>
    <xf numFmtId="166" fontId="9" fillId="0" borderId="30" xfId="2" applyNumberFormat="1" applyFont="1" applyBorder="1"/>
    <xf numFmtId="0" fontId="3" fillId="4" borderId="36" xfId="0" applyFont="1" applyFill="1" applyBorder="1" applyAlignment="1">
      <alignment horizontal="center" vertical="center" wrapText="1"/>
    </xf>
    <xf numFmtId="0" fontId="9" fillId="0" borderId="14" xfId="0" applyFont="1" applyBorder="1" applyAlignment="1">
      <alignment vertical="top"/>
    </xf>
    <xf numFmtId="164" fontId="5" fillId="0" borderId="1" xfId="1" applyNumberFormat="1" applyFont="1" applyBorder="1" applyAlignment="1">
      <alignment vertical="center"/>
    </xf>
    <xf numFmtId="43" fontId="5" fillId="0" borderId="1" xfId="1" applyFont="1" applyBorder="1" applyAlignment="1">
      <alignment vertical="center"/>
    </xf>
    <xf numFmtId="165" fontId="5" fillId="0" borderId="1" xfId="1" applyNumberFormat="1" applyFont="1" applyBorder="1" applyAlignment="1">
      <alignment vertical="center"/>
    </xf>
    <xf numFmtId="43" fontId="5" fillId="0" borderId="13" xfId="1" applyFont="1" applyBorder="1" applyAlignment="1">
      <alignment horizontal="center" vertical="center"/>
    </xf>
    <xf numFmtId="0" fontId="0" fillId="0" borderId="19" xfId="0" applyBorder="1"/>
    <xf numFmtId="0" fontId="0" fillId="0" borderId="19" xfId="0" applyBorder="1" applyAlignment="1">
      <alignment wrapText="1"/>
    </xf>
    <xf numFmtId="0" fontId="0" fillId="4" borderId="19" xfId="0" applyFill="1" applyBorder="1"/>
    <xf numFmtId="166" fontId="0" fillId="4" borderId="21" xfId="2" applyNumberFormat="1" applyFont="1" applyFill="1" applyBorder="1" applyAlignment="1">
      <alignment horizontal="center" vertical="center"/>
    </xf>
    <xf numFmtId="0" fontId="0" fillId="4" borderId="32" xfId="0" applyFill="1" applyBorder="1"/>
    <xf numFmtId="0" fontId="0" fillId="4" borderId="26" xfId="0" applyFill="1" applyBorder="1"/>
    <xf numFmtId="0" fontId="9" fillId="0" borderId="32" xfId="0" applyFont="1" applyBorder="1" applyAlignment="1">
      <alignment vertical="top"/>
    </xf>
    <xf numFmtId="0" fontId="0" fillId="0" borderId="26" xfId="0" applyBorder="1"/>
    <xf numFmtId="0" fontId="0" fillId="0" borderId="0" xfId="0" quotePrefix="1"/>
    <xf numFmtId="0" fontId="0" fillId="4" borderId="29" xfId="0" applyFill="1" applyBorder="1"/>
    <xf numFmtId="0" fontId="0" fillId="4" borderId="0" xfId="0" applyFill="1"/>
    <xf numFmtId="0" fontId="0" fillId="4" borderId="28" xfId="0" applyFill="1" applyBorder="1"/>
    <xf numFmtId="0" fontId="9" fillId="0" borderId="10" xfId="0" applyFont="1" applyBorder="1" applyAlignment="1">
      <alignment vertical="top"/>
    </xf>
    <xf numFmtId="0" fontId="0" fillId="0" borderId="10" xfId="0" applyBorder="1"/>
    <xf numFmtId="0" fontId="0" fillId="0" borderId="4" xfId="0" applyBorder="1"/>
    <xf numFmtId="0" fontId="0" fillId="0" borderId="10" xfId="0" applyBorder="1" applyAlignment="1">
      <alignment horizontal="right"/>
    </xf>
    <xf numFmtId="14" fontId="0" fillId="0" borderId="10" xfId="0" applyNumberFormat="1" applyBorder="1"/>
    <xf numFmtId="0" fontId="0" fillId="0" borderId="5" xfId="0" applyBorder="1"/>
    <xf numFmtId="0" fontId="5" fillId="0" borderId="1" xfId="0" applyFont="1" applyBorder="1" applyAlignment="1">
      <alignment vertical="center" wrapText="1"/>
    </xf>
    <xf numFmtId="0" fontId="5" fillId="0" borderId="7" xfId="0" applyFont="1" applyBorder="1" applyAlignment="1">
      <alignment vertical="center" wrapText="1"/>
    </xf>
    <xf numFmtId="0" fontId="16" fillId="0" borderId="10" xfId="0" applyFont="1" applyBorder="1" applyAlignment="1">
      <alignment horizontal="right"/>
    </xf>
    <xf numFmtId="0" fontId="9" fillId="0" borderId="36" xfId="0" applyFont="1" applyBorder="1" applyAlignment="1">
      <alignment vertical="top"/>
    </xf>
    <xf numFmtId="14" fontId="16" fillId="0" borderId="37" xfId="0" applyNumberFormat="1" applyFont="1" applyBorder="1" applyAlignment="1">
      <alignment horizontal="center" vertical="top"/>
    </xf>
    <xf numFmtId="0" fontId="0" fillId="0" borderId="28" xfId="0" applyBorder="1"/>
    <xf numFmtId="0" fontId="9" fillId="0" borderId="43" xfId="0" applyFont="1" applyBorder="1"/>
    <xf numFmtId="0" fontId="0" fillId="0" borderId="27" xfId="0" applyBorder="1" applyAlignment="1">
      <alignment horizontal="left"/>
    </xf>
    <xf numFmtId="0" fontId="0" fillId="0" borderId="43" xfId="0" applyBorder="1" applyAlignment="1">
      <alignment horizontal="left"/>
    </xf>
    <xf numFmtId="0" fontId="0" fillId="0" borderId="24" xfId="0" applyBorder="1" applyAlignment="1">
      <alignment horizontal="left"/>
    </xf>
    <xf numFmtId="0" fontId="0" fillId="6" borderId="24" xfId="0" applyFill="1" applyBorder="1" applyAlignment="1">
      <alignment horizontal="left"/>
    </xf>
    <xf numFmtId="0" fontId="0" fillId="0" borderId="44" xfId="0" applyBorder="1"/>
    <xf numFmtId="0" fontId="0" fillId="0" borderId="45" xfId="0" applyBorder="1"/>
    <xf numFmtId="0" fontId="0" fillId="0" borderId="40" xfId="0" applyBorder="1" applyAlignment="1">
      <alignment horizontal="right"/>
    </xf>
    <xf numFmtId="0" fontId="0" fillId="4" borderId="19" xfId="0" applyFill="1" applyBorder="1" applyAlignment="1">
      <alignment horizontal="center" vertical="center"/>
    </xf>
    <xf numFmtId="0" fontId="0" fillId="4" borderId="21" xfId="0" applyFill="1" applyBorder="1" applyAlignment="1">
      <alignment vertical="center"/>
    </xf>
    <xf numFmtId="0" fontId="9" fillId="0" borderId="29" xfId="0" applyFont="1" applyBorder="1" applyAlignment="1">
      <alignment vertical="top"/>
    </xf>
    <xf numFmtId="0" fontId="9" fillId="0" borderId="28" xfId="0" applyFont="1" applyBorder="1" applyAlignment="1">
      <alignment vertical="top"/>
    </xf>
    <xf numFmtId="0" fontId="0" fillId="0" borderId="39" xfId="0" applyBorder="1"/>
    <xf numFmtId="0" fontId="0" fillId="0" borderId="40" xfId="0" applyBorder="1"/>
    <xf numFmtId="0" fontId="16" fillId="0" borderId="40" xfId="0" applyFont="1" applyBorder="1" applyAlignment="1">
      <alignment horizontal="right"/>
    </xf>
    <xf numFmtId="14" fontId="16" fillId="0" borderId="41" xfId="0" applyNumberFormat="1" applyFont="1" applyBorder="1" applyAlignment="1">
      <alignment horizontal="center" vertical="top"/>
    </xf>
    <xf numFmtId="0" fontId="5" fillId="0" borderId="24" xfId="0" applyFont="1" applyBorder="1" applyAlignment="1">
      <alignment vertical="center"/>
    </xf>
    <xf numFmtId="0" fontId="5" fillId="0" borderId="24" xfId="0" applyFont="1" applyBorder="1" applyAlignment="1">
      <alignment horizontal="left" vertical="center" wrapText="1"/>
    </xf>
    <xf numFmtId="0" fontId="0" fillId="0" borderId="25" xfId="0" applyBorder="1" applyAlignment="1">
      <alignment horizontal="left" vertical="top" wrapText="1"/>
    </xf>
    <xf numFmtId="0" fontId="0" fillId="0" borderId="25" xfId="0" applyBorder="1"/>
    <xf numFmtId="0" fontId="5" fillId="0" borderId="19" xfId="0" applyFont="1" applyBorder="1" applyAlignment="1">
      <alignment vertical="center"/>
    </xf>
    <xf numFmtId="0" fontId="5" fillId="0" borderId="19" xfId="0" applyFont="1" applyBorder="1" applyAlignment="1">
      <alignment horizontal="left" vertical="center"/>
    </xf>
    <xf numFmtId="0" fontId="0" fillId="0" borderId="37" xfId="0" applyBorder="1" applyAlignment="1">
      <alignment vertical="top" wrapText="1"/>
    </xf>
    <xf numFmtId="0" fontId="0" fillId="4" borderId="21" xfId="0" applyFill="1" applyBorder="1"/>
    <xf numFmtId="0" fontId="7" fillId="0" borderId="25" xfId="0" applyFont="1" applyBorder="1" applyAlignment="1">
      <alignment horizontal="left" vertical="center"/>
    </xf>
    <xf numFmtId="43" fontId="5" fillId="0" borderId="1" xfId="1" applyFont="1" applyBorder="1" applyAlignment="1">
      <alignment horizontal="center" vertical="center" wrapText="1"/>
    </xf>
    <xf numFmtId="165" fontId="9" fillId="0" borderId="1" xfId="1" applyNumberFormat="1" applyFont="1" applyFill="1" applyBorder="1" applyAlignment="1" applyProtection="1">
      <alignment horizontal="center" vertical="center"/>
      <protection locked="0"/>
    </xf>
    <xf numFmtId="165" fontId="9" fillId="0" borderId="12" xfId="1" applyNumberFormat="1" applyFont="1" applyFill="1" applyBorder="1" applyAlignment="1" applyProtection="1">
      <alignment horizontal="center" vertical="center"/>
      <protection locked="0"/>
    </xf>
    <xf numFmtId="165" fontId="9" fillId="0" borderId="13" xfId="1" applyNumberFormat="1" applyFont="1" applyFill="1" applyBorder="1" applyAlignment="1" applyProtection="1">
      <alignment horizontal="center" vertical="center"/>
      <protection locked="0"/>
    </xf>
    <xf numFmtId="165" fontId="9" fillId="0" borderId="24" xfId="1" applyNumberFormat="1" applyFont="1" applyFill="1" applyBorder="1" applyAlignment="1" applyProtection="1">
      <alignment horizontal="center" vertical="center"/>
      <protection locked="0"/>
    </xf>
    <xf numFmtId="165" fontId="9" fillId="0" borderId="23" xfId="1" applyNumberFormat="1" applyFont="1" applyFill="1" applyBorder="1" applyAlignment="1" applyProtection="1">
      <alignment horizontal="center" vertical="center"/>
      <protection locked="0"/>
    </xf>
    <xf numFmtId="0" fontId="24" fillId="7" borderId="19" xfId="0" applyFont="1" applyFill="1" applyBorder="1"/>
    <xf numFmtId="0" fontId="24" fillId="7" borderId="13" xfId="0" applyFont="1" applyFill="1" applyBorder="1"/>
    <xf numFmtId="0" fontId="18" fillId="7" borderId="13" xfId="0" applyFont="1" applyFill="1" applyBorder="1"/>
    <xf numFmtId="0" fontId="18" fillId="7" borderId="12" xfId="0" applyFont="1" applyFill="1" applyBorder="1"/>
    <xf numFmtId="0" fontId="20" fillId="7" borderId="36" xfId="0" applyFont="1" applyFill="1" applyBorder="1" applyAlignment="1">
      <alignment vertical="center"/>
    </xf>
    <xf numFmtId="43" fontId="25" fillId="7" borderId="10" xfId="1" applyFont="1" applyFill="1" applyBorder="1" applyAlignment="1">
      <alignment vertical="center"/>
    </xf>
    <xf numFmtId="0" fontId="25" fillId="7" borderId="10" xfId="0" applyFont="1" applyFill="1" applyBorder="1" applyAlignment="1">
      <alignment vertical="center"/>
    </xf>
    <xf numFmtId="0" fontId="20" fillId="7" borderId="37" xfId="0" applyFont="1" applyFill="1" applyBorder="1"/>
    <xf numFmtId="0" fontId="20" fillId="7" borderId="32" xfId="0" applyFont="1" applyFill="1" applyBorder="1"/>
    <xf numFmtId="0" fontId="20" fillId="7" borderId="14" xfId="0" applyFont="1" applyFill="1" applyBorder="1"/>
    <xf numFmtId="0" fontId="20" fillId="7" borderId="0" xfId="0" applyFont="1" applyFill="1"/>
    <xf numFmtId="0" fontId="20" fillId="7" borderId="26" xfId="0" applyFont="1" applyFill="1" applyBorder="1"/>
    <xf numFmtId="165" fontId="9" fillId="4" borderId="13" xfId="1" applyNumberFormat="1" applyFont="1" applyFill="1" applyBorder="1" applyAlignment="1">
      <alignment horizontal="center" vertical="center"/>
    </xf>
    <xf numFmtId="0" fontId="21" fillId="7" borderId="2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12" fillId="0" borderId="0" xfId="0" applyFont="1" applyAlignment="1">
      <alignment vertical="top" wrapText="1"/>
    </xf>
    <xf numFmtId="0" fontId="28" fillId="0" borderId="0" xfId="0" applyFont="1"/>
    <xf numFmtId="0" fontId="26" fillId="0" borderId="0" xfId="0" applyFont="1" applyAlignment="1">
      <alignment vertical="center" wrapText="1"/>
    </xf>
    <xf numFmtId="0" fontId="0" fillId="0" borderId="29" xfId="0" applyBorder="1"/>
    <xf numFmtId="0" fontId="3" fillId="0" borderId="29" xfId="0" applyFont="1" applyBorder="1"/>
    <xf numFmtId="0" fontId="3" fillId="0" borderId="28"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12" fillId="0" borderId="28" xfId="0" applyFont="1" applyBorder="1" applyAlignment="1">
      <alignment vertical="top" wrapText="1"/>
    </xf>
    <xf numFmtId="0" fontId="17" fillId="0" borderId="29" xfId="0" applyFont="1" applyBorder="1"/>
    <xf numFmtId="0" fontId="12" fillId="0" borderId="0" xfId="0" applyFont="1"/>
    <xf numFmtId="3" fontId="3" fillId="0" borderId="0" xfId="0" applyNumberFormat="1" applyFont="1"/>
    <xf numFmtId="0" fontId="3" fillId="0" borderId="0" xfId="0" applyFont="1" applyAlignment="1">
      <alignment horizontal="center" vertical="center"/>
    </xf>
    <xf numFmtId="0" fontId="3" fillId="0" borderId="0" xfId="0" applyFont="1" applyAlignment="1">
      <alignment horizontal="center"/>
    </xf>
    <xf numFmtId="0" fontId="0" fillId="0" borderId="31" xfId="0" applyBorder="1" applyAlignment="1">
      <alignment horizontal="center" vertical="center"/>
    </xf>
    <xf numFmtId="0" fontId="0" fillId="0" borderId="41" xfId="0" applyBorder="1"/>
    <xf numFmtId="0" fontId="21" fillId="7" borderId="24" xfId="0" applyFont="1" applyFill="1" applyBorder="1" applyAlignment="1">
      <alignment horizontal="center" vertical="center"/>
    </xf>
    <xf numFmtId="0" fontId="21" fillId="7" borderId="1" xfId="0" applyFont="1" applyFill="1" applyBorder="1" applyAlignment="1">
      <alignment horizontal="center" vertical="center"/>
    </xf>
    <xf numFmtId="0" fontId="21" fillId="7" borderId="1"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7" xfId="0" applyFont="1" applyFill="1" applyBorder="1" applyAlignment="1">
      <alignment vertical="center" wrapText="1"/>
    </xf>
    <xf numFmtId="0" fontId="21" fillId="7" borderId="20" xfId="0" applyFont="1" applyFill="1" applyBorder="1" applyAlignment="1">
      <alignment vertical="center" wrapText="1"/>
    </xf>
    <xf numFmtId="0" fontId="21" fillId="7" borderId="13" xfId="0" applyFont="1" applyFill="1" applyBorder="1" applyAlignment="1">
      <alignment horizontal="center" vertical="center" wrapText="1"/>
    </xf>
    <xf numFmtId="0" fontId="21" fillId="7" borderId="1" xfId="0" applyFont="1" applyFill="1" applyBorder="1" applyAlignment="1">
      <alignment vertical="center" wrapText="1"/>
    </xf>
    <xf numFmtId="0" fontId="21" fillId="7" borderId="26" xfId="0" applyFont="1" applyFill="1" applyBorder="1" applyAlignment="1">
      <alignment vertical="center" wrapText="1"/>
    </xf>
    <xf numFmtId="0" fontId="21" fillId="7" borderId="24" xfId="0" applyFont="1" applyFill="1" applyBorder="1" applyAlignment="1">
      <alignment horizontal="center" vertical="center" wrapText="1"/>
    </xf>
    <xf numFmtId="0" fontId="21" fillId="7" borderId="3" xfId="0" applyFont="1" applyFill="1" applyBorder="1" applyAlignment="1">
      <alignment vertical="center" wrapText="1"/>
    </xf>
    <xf numFmtId="0" fontId="21" fillId="7" borderId="14" xfId="0" applyFont="1" applyFill="1" applyBorder="1" applyAlignment="1">
      <alignment vertical="center" wrapText="1"/>
    </xf>
    <xf numFmtId="0" fontId="21" fillId="7" borderId="28" xfId="0" applyFont="1" applyFill="1" applyBorder="1" applyAlignment="1">
      <alignment vertical="center" wrapText="1"/>
    </xf>
    <xf numFmtId="0" fontId="20" fillId="7" borderId="19" xfId="0" applyFont="1" applyFill="1" applyBorder="1"/>
    <xf numFmtId="0" fontId="18" fillId="7" borderId="19" xfId="0" applyFont="1" applyFill="1" applyBorder="1" applyAlignment="1">
      <alignment vertical="center"/>
    </xf>
    <xf numFmtId="0" fontId="18" fillId="7" borderId="13"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8" fillId="7" borderId="29" xfId="0" applyFont="1" applyFill="1" applyBorder="1" applyAlignment="1">
      <alignment horizontal="center" vertical="center" wrapText="1"/>
    </xf>
    <xf numFmtId="0" fontId="18" fillId="7" borderId="0" xfId="0" applyFont="1" applyFill="1" applyAlignment="1">
      <alignment horizontal="center" vertical="center" wrapText="1"/>
    </xf>
    <xf numFmtId="165" fontId="18" fillId="7" borderId="13" xfId="1" applyNumberFormat="1" applyFont="1" applyFill="1" applyBorder="1" applyAlignment="1">
      <alignment horizontal="center" vertical="center"/>
    </xf>
    <xf numFmtId="164" fontId="18" fillId="7" borderId="19" xfId="1" applyNumberFormat="1" applyFont="1" applyFill="1" applyBorder="1" applyAlignment="1">
      <alignment horizontal="center" vertical="center"/>
    </xf>
    <xf numFmtId="166" fontId="18" fillId="7" borderId="20" xfId="2" applyNumberFormat="1" applyFont="1" applyFill="1" applyBorder="1" applyAlignment="1">
      <alignment horizontal="center" vertical="center"/>
    </xf>
    <xf numFmtId="164" fontId="18" fillId="7" borderId="13" xfId="1" applyNumberFormat="1" applyFont="1" applyFill="1" applyBorder="1" applyAlignment="1">
      <alignment horizontal="center" vertical="center"/>
    </xf>
    <xf numFmtId="0" fontId="18" fillId="7" borderId="21" xfId="0" applyFont="1" applyFill="1" applyBorder="1" applyAlignment="1">
      <alignment horizontal="center" vertical="center"/>
    </xf>
    <xf numFmtId="0" fontId="18" fillId="7" borderId="13" xfId="0" applyFont="1" applyFill="1" applyBorder="1" applyAlignment="1">
      <alignment horizontal="center" vertical="center"/>
    </xf>
    <xf numFmtId="0" fontId="18" fillId="7" borderId="29" xfId="0" applyFont="1" applyFill="1" applyBorder="1" applyAlignment="1">
      <alignment horizontal="center" vertical="center"/>
    </xf>
    <xf numFmtId="0" fontId="18" fillId="7" borderId="0" xfId="0" applyFont="1" applyFill="1" applyAlignment="1">
      <alignment horizontal="center" vertical="center"/>
    </xf>
    <xf numFmtId="43" fontId="18" fillId="7" borderId="29" xfId="1" applyFont="1" applyFill="1" applyBorder="1" applyAlignment="1">
      <alignment horizontal="center" vertical="center"/>
    </xf>
    <xf numFmtId="0" fontId="18" fillId="7" borderId="19" xfId="0" applyFont="1" applyFill="1" applyBorder="1" applyAlignment="1">
      <alignment horizontal="center" vertical="center"/>
    </xf>
    <xf numFmtId="165" fontId="6" fillId="8" borderId="13" xfId="0" applyNumberFormat="1" applyFont="1" applyFill="1" applyBorder="1" applyAlignment="1">
      <alignment horizontal="left" vertical="center"/>
    </xf>
    <xf numFmtId="0" fontId="6" fillId="8" borderId="13" xfId="0" applyFont="1" applyFill="1" applyBorder="1" applyAlignment="1">
      <alignment horizontal="left" vertical="center"/>
    </xf>
    <xf numFmtId="166" fontId="6" fillId="8" borderId="13" xfId="0" applyNumberFormat="1" applyFont="1" applyFill="1" applyBorder="1" applyAlignment="1">
      <alignment horizontal="right" vertical="center"/>
    </xf>
    <xf numFmtId="43" fontId="6" fillId="8" borderId="13" xfId="0" applyNumberFormat="1" applyFont="1" applyFill="1" applyBorder="1" applyAlignment="1">
      <alignment horizontal="left" vertical="center"/>
    </xf>
    <xf numFmtId="0" fontId="0" fillId="8" borderId="13" xfId="0" applyFill="1" applyBorder="1"/>
    <xf numFmtId="0" fontId="0" fillId="8" borderId="21" xfId="0" applyFill="1" applyBorder="1"/>
    <xf numFmtId="0" fontId="20" fillId="7" borderId="29" xfId="0" applyFont="1" applyFill="1" applyBorder="1" applyAlignment="1">
      <alignment horizontal="right"/>
    </xf>
    <xf numFmtId="165" fontId="20" fillId="7" borderId="0" xfId="1" applyNumberFormat="1" applyFont="1" applyFill="1" applyBorder="1" applyAlignment="1">
      <alignment horizontal="right"/>
    </xf>
    <xf numFmtId="166" fontId="20" fillId="7" borderId="0" xfId="2" applyNumberFormat="1" applyFont="1" applyFill="1" applyBorder="1" applyAlignment="1">
      <alignment horizontal="center"/>
    </xf>
    <xf numFmtId="166" fontId="20" fillId="7" borderId="0" xfId="2" applyNumberFormat="1" applyFont="1" applyFill="1" applyBorder="1" applyAlignment="1">
      <alignment horizontal="right"/>
    </xf>
    <xf numFmtId="166" fontId="20" fillId="7" borderId="28" xfId="2" applyNumberFormat="1" applyFont="1" applyFill="1" applyBorder="1" applyAlignment="1">
      <alignment horizontal="right"/>
    </xf>
    <xf numFmtId="3" fontId="3" fillId="8" borderId="48" xfId="0" applyNumberFormat="1" applyFont="1" applyFill="1" applyBorder="1" applyAlignment="1">
      <alignment horizontal="center" vertical="center"/>
    </xf>
    <xf numFmtId="14" fontId="16" fillId="0" borderId="40" xfId="0" applyNumberFormat="1" applyFont="1" applyBorder="1" applyAlignment="1">
      <alignment horizontal="center" vertical="top"/>
    </xf>
    <xf numFmtId="0" fontId="0" fillId="8" borderId="48" xfId="0" applyFill="1" applyBorder="1" applyAlignment="1">
      <alignment horizontal="center" vertical="center"/>
    </xf>
    <xf numFmtId="0" fontId="19" fillId="7" borderId="2"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14" xfId="0" applyFont="1" applyBorder="1" applyAlignment="1">
      <alignment horizontal="left" vertical="top"/>
    </xf>
    <xf numFmtId="0" fontId="5" fillId="0" borderId="3" xfId="0" applyFont="1" applyBorder="1" applyAlignment="1">
      <alignment horizontal="left" vertical="top"/>
    </xf>
    <xf numFmtId="0" fontId="14" fillId="5" borderId="11"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5" fillId="0" borderId="42"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10" xfId="0" applyFont="1" applyBorder="1" applyAlignment="1">
      <alignment horizontal="left" vertical="top"/>
    </xf>
    <xf numFmtId="0" fontId="5" fillId="0" borderId="5" xfId="0" applyFont="1" applyBorder="1" applyAlignment="1">
      <alignment horizontal="left" vertical="top"/>
    </xf>
    <xf numFmtId="0" fontId="5" fillId="0" borderId="11" xfId="0" applyFont="1" applyBorder="1" applyAlignment="1">
      <alignment horizontal="left" vertical="top" wrapText="1"/>
    </xf>
    <xf numFmtId="0" fontId="5" fillId="0" borderId="13" xfId="0" applyFont="1" applyBorder="1" applyAlignment="1">
      <alignment horizontal="left" vertical="top"/>
    </xf>
    <xf numFmtId="0" fontId="5" fillId="0" borderId="12" xfId="0" applyFont="1" applyBorder="1" applyAlignment="1">
      <alignment horizontal="left" vertical="top"/>
    </xf>
    <xf numFmtId="0" fontId="3" fillId="0" borderId="0" xfId="0" applyFont="1" applyAlignment="1">
      <alignment horizontal="left" vertical="top" wrapText="1"/>
    </xf>
    <xf numFmtId="0" fontId="22" fillId="7" borderId="35"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34"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1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23" fillId="7" borderId="19" xfId="0" applyFont="1" applyFill="1" applyBorder="1" applyAlignment="1" applyProtection="1">
      <alignment horizontal="center" vertical="center"/>
      <protection locked="0"/>
    </xf>
    <xf numFmtId="0" fontId="23" fillId="7" borderId="13" xfId="0" applyFont="1" applyFill="1" applyBorder="1" applyAlignment="1" applyProtection="1">
      <alignment horizontal="center" vertical="center"/>
      <protection locked="0"/>
    </xf>
    <xf numFmtId="0" fontId="23" fillId="7" borderId="21" xfId="0" applyFont="1" applyFill="1" applyBorder="1" applyAlignment="1" applyProtection="1">
      <alignment horizontal="center" vertical="center"/>
      <protection locked="0"/>
    </xf>
    <xf numFmtId="0" fontId="15" fillId="0" borderId="29" xfId="0" applyFont="1" applyBorder="1" applyAlignment="1">
      <alignment horizontal="left" vertical="top" wrapText="1"/>
    </xf>
    <xf numFmtId="0" fontId="15" fillId="0" borderId="0" xfId="0" applyFont="1" applyAlignment="1">
      <alignment horizontal="left" vertical="top" wrapText="1"/>
    </xf>
    <xf numFmtId="0" fontId="15" fillId="0" borderId="28" xfId="0" applyFont="1" applyBorder="1" applyAlignment="1">
      <alignment horizontal="left" vertical="top" wrapText="1"/>
    </xf>
    <xf numFmtId="0" fontId="0" fillId="0" borderId="20" xfId="0" applyBorder="1" applyAlignment="1">
      <alignment vertical="top" wrapText="1"/>
    </xf>
    <xf numFmtId="0" fontId="0" fillId="0" borderId="47" xfId="0" applyBorder="1" applyAlignment="1">
      <alignment vertical="top" wrapText="1"/>
    </xf>
    <xf numFmtId="0" fontId="0" fillId="0" borderId="38" xfId="0" applyBorder="1" applyAlignment="1">
      <alignment vertical="top" wrapText="1"/>
    </xf>
    <xf numFmtId="0" fontId="0" fillId="0" borderId="20" xfId="0" applyBorder="1" applyAlignment="1">
      <alignment horizontal="left" vertical="center" wrapText="1"/>
    </xf>
    <xf numFmtId="0" fontId="0" fillId="0" borderId="47" xfId="0" applyBorder="1" applyAlignment="1">
      <alignment horizontal="left" vertical="center" wrapText="1"/>
    </xf>
    <xf numFmtId="0" fontId="0" fillId="0" borderId="38" xfId="0" applyBorder="1" applyAlignment="1">
      <alignment horizontal="left" vertical="center" wrapText="1"/>
    </xf>
    <xf numFmtId="0" fontId="9" fillId="0" borderId="32" xfId="0" applyFont="1" applyBorder="1" applyAlignment="1">
      <alignment horizontal="left" vertical="top"/>
    </xf>
    <xf numFmtId="0" fontId="9" fillId="0" borderId="14" xfId="0" applyFont="1" applyBorder="1" applyAlignment="1">
      <alignment horizontal="left" vertical="top"/>
    </xf>
    <xf numFmtId="0" fontId="9" fillId="0" borderId="26" xfId="0" applyFont="1" applyBorder="1" applyAlignment="1">
      <alignment horizontal="left" vertical="top"/>
    </xf>
    <xf numFmtId="0" fontId="16" fillId="0" borderId="29" xfId="0" applyFont="1" applyBorder="1" applyAlignment="1">
      <alignment horizontal="left" vertical="top" wrapText="1"/>
    </xf>
    <xf numFmtId="0" fontId="16" fillId="0" borderId="0" xfId="0" applyFont="1" applyAlignment="1">
      <alignment horizontal="left" vertical="top" wrapText="1"/>
    </xf>
    <xf numFmtId="0" fontId="16" fillId="0" borderId="28" xfId="0" applyFont="1" applyBorder="1" applyAlignment="1">
      <alignment horizontal="left" vertical="top" wrapText="1"/>
    </xf>
    <xf numFmtId="164" fontId="5" fillId="0" borderId="11" xfId="1" applyNumberFormat="1" applyFont="1" applyBorder="1" applyAlignment="1">
      <alignment horizontal="left" vertical="center" wrapText="1"/>
    </xf>
    <xf numFmtId="164" fontId="5" fillId="0" borderId="13" xfId="1" applyNumberFormat="1" applyFont="1" applyBorder="1" applyAlignment="1">
      <alignment horizontal="left" vertical="center" wrapText="1"/>
    </xf>
    <xf numFmtId="164" fontId="5" fillId="0" borderId="21" xfId="1" applyNumberFormat="1" applyFont="1" applyBorder="1" applyAlignment="1">
      <alignment horizontal="left" vertical="center" wrapText="1"/>
    </xf>
    <xf numFmtId="0" fontId="19"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21" xfId="0" applyFont="1" applyFill="1" applyBorder="1" applyAlignment="1">
      <alignment horizontal="center" vertical="center" wrapText="1"/>
    </xf>
    <xf numFmtId="164" fontId="5" fillId="0" borderId="2" xfId="1" applyNumberFormat="1" applyFont="1" applyBorder="1" applyAlignment="1">
      <alignment horizontal="left" vertical="center" wrapText="1"/>
    </xf>
    <xf numFmtId="164" fontId="5" fillId="0" borderId="14" xfId="1" applyNumberFormat="1" applyFont="1" applyBorder="1" applyAlignment="1">
      <alignment horizontal="left" vertical="center" wrapText="1"/>
    </xf>
    <xf numFmtId="164" fontId="5" fillId="0" borderId="26" xfId="1" applyNumberFormat="1" applyFont="1" applyBorder="1" applyAlignment="1">
      <alignment horizontal="left" vertical="center" wrapText="1"/>
    </xf>
    <xf numFmtId="0" fontId="26" fillId="7" borderId="19"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8" fillId="7" borderId="49" xfId="0" applyFont="1" applyFill="1" applyBorder="1" applyAlignment="1">
      <alignment horizontal="center" vertical="center"/>
    </xf>
    <xf numFmtId="0" fontId="28" fillId="7" borderId="50" xfId="0" applyFont="1" applyFill="1" applyBorder="1" applyAlignment="1">
      <alignment horizontal="center" vertical="center"/>
    </xf>
    <xf numFmtId="0" fontId="28" fillId="7" borderId="51" xfId="0" applyFont="1" applyFill="1" applyBorder="1" applyAlignment="1">
      <alignment horizontal="center" vertical="center"/>
    </xf>
    <xf numFmtId="0" fontId="29" fillId="0" borderId="31" xfId="0" applyFont="1" applyBorder="1" applyAlignment="1">
      <alignment horizontal="left" vertical="center" wrapText="1"/>
    </xf>
    <xf numFmtId="0" fontId="21" fillId="7" borderId="29" xfId="0" applyFont="1" applyFill="1" applyBorder="1" applyAlignment="1">
      <alignment horizontal="left" vertical="center" wrapText="1"/>
    </xf>
    <xf numFmtId="0" fontId="21" fillId="7" borderId="0" xfId="0" applyFont="1" applyFill="1" applyAlignment="1">
      <alignment horizontal="left" vertical="center" wrapText="1"/>
    </xf>
    <xf numFmtId="0" fontId="21" fillId="7" borderId="28" xfId="0" applyFont="1" applyFill="1" applyBorder="1" applyAlignment="1">
      <alignment horizontal="left" vertical="center" wrapText="1"/>
    </xf>
    <xf numFmtId="0" fontId="21" fillId="7" borderId="19" xfId="0" applyFont="1" applyFill="1" applyBorder="1" applyAlignment="1">
      <alignment horizontal="left" vertical="center"/>
    </xf>
    <xf numFmtId="0" fontId="21" fillId="7" borderId="13" xfId="0" applyFont="1" applyFill="1" applyBorder="1" applyAlignment="1">
      <alignment horizontal="left" vertical="center"/>
    </xf>
    <xf numFmtId="0" fontId="21" fillId="7" borderId="21" xfId="0" applyFont="1" applyFill="1" applyBorder="1" applyAlignment="1">
      <alignment horizontal="left" vertical="center"/>
    </xf>
    <xf numFmtId="14" fontId="0" fillId="0" borderId="45" xfId="0" applyNumberFormat="1" applyBorder="1" applyAlignment="1">
      <alignment horizontal="center" vertical="top"/>
    </xf>
    <xf numFmtId="14" fontId="0" fillId="0" borderId="46" xfId="0" applyNumberFormat="1" applyBorder="1" applyAlignment="1">
      <alignment horizontal="center" vertical="top"/>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13" fillId="5" borderId="36"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0" fillId="0" borderId="32" xfId="0" applyBorder="1" applyAlignment="1">
      <alignment horizontal="left" vertical="top" wrapText="1"/>
    </xf>
    <xf numFmtId="0" fontId="0" fillId="0" borderId="14" xfId="0" applyBorder="1" applyAlignment="1">
      <alignment horizontal="left" vertical="top"/>
    </xf>
    <xf numFmtId="0" fontId="0" fillId="0" borderId="3" xfId="0" applyBorder="1" applyAlignment="1">
      <alignment horizontal="left" vertical="top"/>
    </xf>
    <xf numFmtId="0" fontId="20" fillId="7" borderId="17"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6" fillId="7" borderId="19"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21" xfId="0" applyFont="1" applyFill="1" applyBorder="1" applyAlignment="1">
      <alignment horizontal="center" vertical="center"/>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0" fontId="9" fillId="0" borderId="29" xfId="0" applyFont="1" applyBorder="1" applyAlignment="1">
      <alignment horizontal="left" vertical="top" wrapText="1"/>
    </xf>
    <xf numFmtId="0" fontId="9" fillId="0" borderId="0" xfId="0" applyFont="1" applyAlignment="1">
      <alignment horizontal="left" vertical="top" wrapText="1"/>
    </xf>
    <xf numFmtId="0" fontId="9" fillId="0" borderId="28" xfId="0" applyFont="1" applyBorder="1" applyAlignment="1">
      <alignment horizontal="left" vertical="top" wrapText="1"/>
    </xf>
    <xf numFmtId="0" fontId="6" fillId="8" borderId="19" xfId="0" applyFont="1" applyFill="1" applyBorder="1" applyAlignment="1">
      <alignment horizontal="right" wrapText="1"/>
    </xf>
    <xf numFmtId="0" fontId="6" fillId="8" borderId="13" xfId="0" applyFont="1" applyFill="1" applyBorder="1" applyAlignment="1">
      <alignment horizontal="right" wrapText="1"/>
    </xf>
    <xf numFmtId="0" fontId="4" fillId="4" borderId="20"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37" xfId="0" applyFont="1" applyFill="1" applyBorder="1" applyAlignment="1">
      <alignment horizontal="center" vertical="center" wrapText="1"/>
    </xf>
  </cellXfs>
  <cellStyles count="3">
    <cellStyle name="Comma" xfId="1" builtinId="3"/>
    <cellStyle name="Normal" xfId="0" builtinId="0"/>
    <cellStyle name="Percent" xfId="2" builtinId="5"/>
  </cellStyles>
  <dxfs count="10">
    <dxf>
      <fill>
        <patternFill>
          <bgColor theme="7" tint="0.79998168889431442"/>
        </patternFill>
      </fill>
    </dxf>
    <dxf>
      <fill>
        <patternFill>
          <bgColor rgb="FF00B0F0"/>
        </patternFill>
      </fill>
    </dxf>
    <dxf>
      <fill>
        <patternFill>
          <bgColor theme="0" tint="-0.14996795556505021"/>
        </patternFill>
      </fill>
    </dxf>
    <dxf>
      <fill>
        <patternFill>
          <bgColor rgb="FF00B0F0"/>
        </patternFill>
      </fill>
    </dxf>
    <dxf>
      <fill>
        <patternFill>
          <bgColor rgb="FF00B0F0"/>
        </patternFill>
      </fill>
    </dxf>
    <dxf>
      <fill>
        <patternFill>
          <bgColor theme="0" tint="-0.14996795556505021"/>
        </patternFill>
      </fill>
    </dxf>
    <dxf>
      <fill>
        <patternFill>
          <bgColor rgb="FF00B0F0"/>
        </patternFill>
      </fill>
    </dxf>
    <dxf>
      <fill>
        <patternFill>
          <bgColor theme="0" tint="-0.14996795556505021"/>
        </patternFill>
      </fill>
    </dxf>
    <dxf>
      <fill>
        <patternFill>
          <bgColor rgb="FF00B0F0"/>
        </patternFill>
      </fill>
    </dxf>
    <dxf>
      <fill>
        <patternFill>
          <bgColor theme="0" tint="-0.1499679555650502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AVERAGE</a:t>
            </a:r>
            <a:r>
              <a:rPr lang="en-US" baseline="0"/>
              <a:t> </a:t>
            </a:r>
            <a:r>
              <a:rPr lang="en-US"/>
              <a:t>WATER USE (GALLONS PER DAY, GPD)</a:t>
            </a:r>
          </a:p>
        </c:rich>
      </c:tx>
      <c:layout>
        <c:manualLayout>
          <c:xMode val="edge"/>
          <c:yMode val="edge"/>
          <c:x val="2.8565434272249633E-2"/>
          <c:y val="3.85152251746895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24817503344843E-2"/>
          <c:y val="0.2927424464135211"/>
          <c:w val="0.90053350102070573"/>
          <c:h val="0.70175853018372703"/>
        </c:manualLayout>
      </c:layout>
      <c:pie3DChart>
        <c:varyColors val="1"/>
        <c:ser>
          <c:idx val="0"/>
          <c:order val="0"/>
          <c:spPr>
            <a:ln>
              <a:solidFill>
                <a:schemeClr val="bg1"/>
              </a:solidFill>
            </a:ln>
          </c:spPr>
          <c:explosion val="5"/>
          <c:dPt>
            <c:idx val="0"/>
            <c:bubble3D val="0"/>
            <c:spPr>
              <a:solidFill>
                <a:schemeClr val="accent1"/>
              </a:solidFill>
              <a:ln w="25400">
                <a:solidFill>
                  <a:schemeClr val="bg1"/>
                </a:solidFill>
              </a:ln>
              <a:effectLst/>
              <a:sp3d contourW="25400">
                <a:contourClr>
                  <a:schemeClr val="bg1"/>
                </a:contourClr>
              </a:sp3d>
            </c:spPr>
            <c:extLst>
              <c:ext xmlns:c16="http://schemas.microsoft.com/office/drawing/2014/chart" uri="{C3380CC4-5D6E-409C-BE32-E72D297353CC}">
                <c16:uniqueId val="{00000003-0160-4009-A7C3-782EFF520F8F}"/>
              </c:ext>
            </c:extLst>
          </c:dPt>
          <c:dPt>
            <c:idx val="1"/>
            <c:bubble3D val="0"/>
            <c:spPr>
              <a:solidFill>
                <a:schemeClr val="accent2"/>
              </a:solidFill>
              <a:ln w="25400">
                <a:solidFill>
                  <a:schemeClr val="bg1"/>
                </a:solidFill>
              </a:ln>
              <a:effectLst/>
              <a:sp3d contourW="25400">
                <a:contourClr>
                  <a:schemeClr val="bg1"/>
                </a:contourClr>
              </a:sp3d>
            </c:spPr>
            <c:extLst>
              <c:ext xmlns:c16="http://schemas.microsoft.com/office/drawing/2014/chart" uri="{C3380CC4-5D6E-409C-BE32-E72D297353CC}">
                <c16:uniqueId val="{00000002-0160-4009-A7C3-782EFF520F8F}"/>
              </c:ext>
            </c:extLst>
          </c:dPt>
          <c:dPt>
            <c:idx val="2"/>
            <c:bubble3D val="0"/>
            <c:spPr>
              <a:solidFill>
                <a:srgbClr val="92D050"/>
              </a:solidFill>
              <a:ln w="25400">
                <a:solidFill>
                  <a:schemeClr val="bg1"/>
                </a:solidFill>
              </a:ln>
              <a:effectLst/>
              <a:sp3d contourW="25400">
                <a:contourClr>
                  <a:schemeClr val="bg1"/>
                </a:contourClr>
              </a:sp3d>
            </c:spPr>
            <c:extLst>
              <c:ext xmlns:c16="http://schemas.microsoft.com/office/drawing/2014/chart" uri="{C3380CC4-5D6E-409C-BE32-E72D297353CC}">
                <c16:uniqueId val="{00000005-0160-4009-A7C3-782EFF520F8F}"/>
              </c:ext>
            </c:extLst>
          </c:dPt>
          <c:dLbls>
            <c:dLbl>
              <c:idx val="0"/>
              <c:layout>
                <c:manualLayout>
                  <c:x val="-0.17487550565742566"/>
                  <c:y val="-4.5841021678386433E-2"/>
                </c:manualLayout>
              </c:layout>
              <c:showLegendKey val="0"/>
              <c:showVal val="1"/>
              <c:showCatName val="1"/>
              <c:showSerName val="0"/>
              <c:showPercent val="1"/>
              <c:showBubbleSize val="0"/>
              <c:extLst>
                <c:ext xmlns:c15="http://schemas.microsoft.com/office/drawing/2012/chart" uri="{CE6537A1-D6FC-4f65-9D91-7224C49458BB}">
                  <c15:layout>
                    <c:manualLayout>
                      <c:w val="0.2233578351936395"/>
                      <c:h val="0.17709003093474407"/>
                    </c:manualLayout>
                  </c15:layout>
                </c:ext>
                <c:ext xmlns:c16="http://schemas.microsoft.com/office/drawing/2014/chart" uri="{C3380CC4-5D6E-409C-BE32-E72D297353CC}">
                  <c16:uniqueId val="{00000003-0160-4009-A7C3-782EFF520F8F}"/>
                </c:ext>
              </c:extLst>
            </c:dLbl>
            <c:dLbl>
              <c:idx val="1"/>
              <c:layout>
                <c:manualLayout>
                  <c:x val="-2.4249730758029199E-2"/>
                  <c:y val="-0.14569280904531293"/>
                </c:manualLayout>
              </c:layout>
              <c:showLegendKey val="0"/>
              <c:showVal val="1"/>
              <c:showCatName val="1"/>
              <c:showSerName val="0"/>
              <c:showPercent val="1"/>
              <c:showBubbleSize val="0"/>
              <c:extLst>
                <c:ext xmlns:c15="http://schemas.microsoft.com/office/drawing/2012/chart" uri="{CE6537A1-D6FC-4f65-9D91-7224C49458BB}">
                  <c15:layout>
                    <c:manualLayout>
                      <c:w val="0.21224739423759992"/>
                      <c:h val="0.18373422592250985"/>
                    </c:manualLayout>
                  </c15:layout>
                </c:ext>
                <c:ext xmlns:c16="http://schemas.microsoft.com/office/drawing/2014/chart" uri="{C3380CC4-5D6E-409C-BE32-E72D297353CC}">
                  <c16:uniqueId val="{00000002-0160-4009-A7C3-782EFF520F8F}"/>
                </c:ext>
              </c:extLst>
            </c:dLbl>
            <c:dLbl>
              <c:idx val="2"/>
              <c:layout>
                <c:manualLayout>
                  <c:x val="0.20868112621411172"/>
                  <c:y val="-0.30397846025228065"/>
                </c:manualLayout>
              </c:layout>
              <c:showLegendKey val="0"/>
              <c:showVal val="1"/>
              <c:showCatName val="1"/>
              <c:showSerName val="0"/>
              <c:showPercent val="1"/>
              <c:showBubbleSize val="0"/>
              <c:extLst>
                <c:ext xmlns:c15="http://schemas.microsoft.com/office/drawing/2012/chart" uri="{CE6537A1-D6FC-4f65-9D91-7224C49458BB}">
                  <c15:layout>
                    <c:manualLayout>
                      <c:w val="0.22334445816828158"/>
                      <c:h val="0.18373422592250985"/>
                    </c:manualLayout>
                  </c15:layout>
                </c:ext>
                <c:ext xmlns:c16="http://schemas.microsoft.com/office/drawing/2014/chart" uri="{C3380CC4-5D6E-409C-BE32-E72D297353CC}">
                  <c16:uniqueId val="{00000005-0160-4009-A7C3-782EFF520F8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extLst>
                <c:ext xmlns:c15="http://schemas.microsoft.com/office/drawing/2012/chart" uri="{02D57815-91ED-43cb-92C2-25804820EDAC}">
                  <c15:fullRef>
                    <c15:sqref>'4_USE SUMMARY W GRAPH'!$B$6:$B$10</c15:sqref>
                  </c15:fullRef>
                </c:ext>
              </c:extLst>
              <c:f>('4_USE SUMMARY W GRAPH'!$B$7,'4_USE SUMMARY W GRAPH'!$B$9:$B$10)</c:f>
              <c:strCache>
                <c:ptCount val="3"/>
                <c:pt idx="0">
                  <c:v>B. OUTDOOR CONSUMPTIVE USE</c:v>
                </c:pt>
                <c:pt idx="1">
                  <c:v>D. INDOOR CONSUMPTIVE USE</c:v>
                </c:pt>
                <c:pt idx="2">
                  <c:v>E. WASTEWATER TO SEWER</c:v>
                </c:pt>
              </c:strCache>
            </c:strRef>
          </c:cat>
          <c:val>
            <c:numRef>
              <c:extLst>
                <c:ext xmlns:c15="http://schemas.microsoft.com/office/drawing/2012/chart" uri="{02D57815-91ED-43cb-92C2-25804820EDAC}">
                  <c15:fullRef>
                    <c15:sqref>'4_USE SUMMARY W GRAPH'!$C$6:$C$10</c15:sqref>
                  </c15:fullRef>
                </c:ext>
              </c:extLst>
              <c:f>('4_USE SUMMARY W GRAPH'!$C$7,'4_USE SUMMARY W GRAPH'!$C$9:$C$10)</c:f>
              <c:numCache>
                <c:formatCode>_(* #,##0_);_(* \(#,##0\);_(* "-"??_);_(@_)</c:formatCode>
                <c:ptCount val="3"/>
                <c:pt idx="0">
                  <c:v>4229.4520547945203</c:v>
                </c:pt>
                <c:pt idx="1">
                  <c:v>2603</c:v>
                </c:pt>
                <c:pt idx="2">
                  <c:v>20212.714285714286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0160-4009-A7C3-782EFF520F8F}"/>
            </c:ext>
          </c:extLst>
        </c:ser>
        <c:dLbls>
          <c:showLegendKey val="0"/>
          <c:showVal val="0"/>
          <c:showCatName val="0"/>
          <c:showSerName val="0"/>
          <c:showPercent val="0"/>
          <c:showBubbleSize val="0"/>
          <c:showLeaderLines val="0"/>
        </c:dLbls>
      </c:pie3DChart>
      <c:spPr>
        <a:noFill/>
        <a:ln cmpd="sng">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2066924</xdr:colOff>
      <xdr:row>3</xdr:row>
      <xdr:rowOff>9525</xdr:rowOff>
    </xdr:from>
    <xdr:to>
      <xdr:col>13</xdr:col>
      <xdr:colOff>0</xdr:colOff>
      <xdr:row>12</xdr:row>
      <xdr:rowOff>0</xdr:rowOff>
    </xdr:to>
    <xdr:graphicFrame macro="">
      <xdr:nvGraphicFramePr>
        <xdr:cNvPr id="5" name="Chart 4">
          <a:extLst>
            <a:ext uri="{FF2B5EF4-FFF2-40B4-BE49-F238E27FC236}">
              <a16:creationId xmlns:a16="http://schemas.microsoft.com/office/drawing/2014/main" id="{3DD456C5-4A1F-49A0-A00B-6A1596CF21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8525-085F-4102-B4BD-A59DFEFDF63B}">
  <sheetPr>
    <tabColor rgb="FF92D050"/>
    <pageSetUpPr fitToPage="1"/>
  </sheetPr>
  <dimension ref="B1:O19"/>
  <sheetViews>
    <sheetView tabSelected="1" zoomScale="70" zoomScaleNormal="70" zoomScaleSheetLayoutView="70" workbookViewId="0">
      <selection activeCell="B1" sqref="B1"/>
    </sheetView>
  </sheetViews>
  <sheetFormatPr defaultRowHeight="15" x14ac:dyDescent="0.25"/>
  <cols>
    <col min="1" max="1" width="3.42578125" customWidth="1"/>
    <col min="14" max="14" width="11.140625" bestFit="1" customWidth="1"/>
    <col min="15" max="15" width="1.42578125" customWidth="1"/>
    <col min="16" max="16" width="3" customWidth="1"/>
  </cols>
  <sheetData>
    <row r="1" spans="2:15" ht="15.75" thickBot="1" x14ac:dyDescent="0.3"/>
    <row r="2" spans="2:15" ht="41.25" customHeight="1" thickBot="1" x14ac:dyDescent="0.3">
      <c r="B2" s="226" t="s">
        <v>114</v>
      </c>
      <c r="C2" s="227"/>
      <c r="D2" s="227"/>
      <c r="E2" s="227"/>
      <c r="F2" s="227"/>
      <c r="G2" s="227"/>
      <c r="H2" s="227"/>
      <c r="I2" s="227"/>
      <c r="J2" s="227"/>
      <c r="K2" s="227"/>
      <c r="L2" s="227"/>
      <c r="M2" s="227"/>
      <c r="N2" s="227"/>
      <c r="O2" s="228"/>
    </row>
    <row r="3" spans="2:15" ht="25.5" customHeight="1" thickBot="1" x14ac:dyDescent="0.3">
      <c r="B3" s="229" t="s">
        <v>127</v>
      </c>
      <c r="C3" s="230"/>
      <c r="D3" s="230"/>
      <c r="E3" s="230"/>
      <c r="F3" s="230"/>
      <c r="G3" s="230"/>
      <c r="H3" s="230"/>
      <c r="I3" s="230"/>
      <c r="J3" s="230"/>
      <c r="K3" s="230"/>
      <c r="L3" s="230"/>
      <c r="M3" s="230"/>
      <c r="N3" s="230"/>
      <c r="O3" s="231"/>
    </row>
    <row r="4" spans="2:15" x14ac:dyDescent="0.25">
      <c r="B4" s="223" t="s">
        <v>147</v>
      </c>
      <c r="C4" s="224"/>
      <c r="D4" s="224"/>
      <c r="E4" s="224"/>
      <c r="F4" s="224"/>
      <c r="G4" s="224"/>
      <c r="H4" s="224"/>
      <c r="I4" s="224"/>
      <c r="J4" s="224"/>
      <c r="K4" s="224"/>
      <c r="L4" s="224"/>
      <c r="M4" s="224"/>
      <c r="N4" s="224"/>
      <c r="O4" s="225"/>
    </row>
    <row r="5" spans="2:15" x14ac:dyDescent="0.25">
      <c r="B5" s="232"/>
      <c r="C5" s="233"/>
      <c r="D5" s="233"/>
      <c r="E5" s="233"/>
      <c r="F5" s="233"/>
      <c r="G5" s="233"/>
      <c r="H5" s="233"/>
      <c r="I5" s="233"/>
      <c r="J5" s="233"/>
      <c r="K5" s="233"/>
      <c r="L5" s="233"/>
      <c r="M5" s="233"/>
      <c r="N5" s="233"/>
      <c r="O5" s="234"/>
    </row>
    <row r="6" spans="2:15" x14ac:dyDescent="0.25">
      <c r="B6" s="232"/>
      <c r="C6" s="233"/>
      <c r="D6" s="233"/>
      <c r="E6" s="233"/>
      <c r="F6" s="233"/>
      <c r="G6" s="233"/>
      <c r="H6" s="233"/>
      <c r="I6" s="233"/>
      <c r="J6" s="233"/>
      <c r="K6" s="233"/>
      <c r="L6" s="233"/>
      <c r="M6" s="233"/>
      <c r="N6" s="233"/>
      <c r="O6" s="234"/>
    </row>
    <row r="7" spans="2:15" x14ac:dyDescent="0.25">
      <c r="B7" s="232"/>
      <c r="C7" s="233"/>
      <c r="D7" s="233"/>
      <c r="E7" s="233"/>
      <c r="F7" s="233"/>
      <c r="G7" s="233"/>
      <c r="H7" s="233"/>
      <c r="I7" s="233"/>
      <c r="J7" s="233"/>
      <c r="K7" s="233"/>
      <c r="L7" s="233"/>
      <c r="M7" s="233"/>
      <c r="N7" s="233"/>
      <c r="O7" s="234"/>
    </row>
    <row r="8" spans="2:15" x14ac:dyDescent="0.25">
      <c r="B8" s="232"/>
      <c r="C8" s="233"/>
      <c r="D8" s="233"/>
      <c r="E8" s="233"/>
      <c r="F8" s="233"/>
      <c r="G8" s="233"/>
      <c r="H8" s="233"/>
      <c r="I8" s="233"/>
      <c r="J8" s="233"/>
      <c r="K8" s="233"/>
      <c r="L8" s="233"/>
      <c r="M8" s="233"/>
      <c r="N8" s="233"/>
      <c r="O8" s="234"/>
    </row>
    <row r="9" spans="2:15" x14ac:dyDescent="0.25">
      <c r="B9" s="232"/>
      <c r="C9" s="233"/>
      <c r="D9" s="233"/>
      <c r="E9" s="233"/>
      <c r="F9" s="233"/>
      <c r="G9" s="233"/>
      <c r="H9" s="233"/>
      <c r="I9" s="233"/>
      <c r="J9" s="233"/>
      <c r="K9" s="233"/>
      <c r="L9" s="233"/>
      <c r="M9" s="233"/>
      <c r="N9" s="233"/>
      <c r="O9" s="234"/>
    </row>
    <row r="10" spans="2:15" x14ac:dyDescent="0.25">
      <c r="B10" s="232"/>
      <c r="C10" s="233"/>
      <c r="D10" s="233"/>
      <c r="E10" s="233"/>
      <c r="F10" s="233"/>
      <c r="G10" s="233"/>
      <c r="H10" s="233"/>
      <c r="I10" s="233"/>
      <c r="J10" s="233"/>
      <c r="K10" s="233"/>
      <c r="L10" s="233"/>
      <c r="M10" s="233"/>
      <c r="N10" s="233"/>
      <c r="O10" s="234"/>
    </row>
    <row r="11" spans="2:15" x14ac:dyDescent="0.25">
      <c r="B11" s="232"/>
      <c r="C11" s="233"/>
      <c r="D11" s="233"/>
      <c r="E11" s="233"/>
      <c r="F11" s="233"/>
      <c r="G11" s="233"/>
      <c r="H11" s="233"/>
      <c r="I11" s="233"/>
      <c r="J11" s="233"/>
      <c r="K11" s="233"/>
      <c r="L11" s="233"/>
      <c r="M11" s="233"/>
      <c r="N11" s="233"/>
      <c r="O11" s="234"/>
    </row>
    <row r="12" spans="2:15" x14ac:dyDescent="0.25">
      <c r="B12" s="232"/>
      <c r="C12" s="233"/>
      <c r="D12" s="233"/>
      <c r="E12" s="233"/>
      <c r="F12" s="233"/>
      <c r="G12" s="233"/>
      <c r="H12" s="233"/>
      <c r="I12" s="233"/>
      <c r="J12" s="233"/>
      <c r="K12" s="233"/>
      <c r="L12" s="233"/>
      <c r="M12" s="233"/>
      <c r="N12" s="233"/>
      <c r="O12" s="234"/>
    </row>
    <row r="13" spans="2:15" x14ac:dyDescent="0.25">
      <c r="B13" s="232"/>
      <c r="C13" s="233"/>
      <c r="D13" s="233"/>
      <c r="E13" s="233"/>
      <c r="F13" s="233"/>
      <c r="G13" s="233"/>
      <c r="H13" s="233"/>
      <c r="I13" s="233"/>
      <c r="J13" s="233"/>
      <c r="K13" s="233"/>
      <c r="L13" s="233"/>
      <c r="M13" s="233"/>
      <c r="N13" s="233"/>
      <c r="O13" s="234"/>
    </row>
    <row r="14" spans="2:15" ht="159" customHeight="1" thickBot="1" x14ac:dyDescent="0.3">
      <c r="B14" s="235"/>
      <c r="C14" s="236"/>
      <c r="D14" s="236"/>
      <c r="E14" s="236"/>
      <c r="F14" s="236"/>
      <c r="G14" s="236"/>
      <c r="H14" s="236"/>
      <c r="I14" s="236"/>
      <c r="J14" s="236"/>
      <c r="K14" s="236"/>
      <c r="L14" s="236"/>
      <c r="M14" s="236"/>
      <c r="N14" s="236"/>
      <c r="O14" s="237"/>
    </row>
    <row r="15" spans="2:15" ht="24.75" customHeight="1" thickBot="1" x14ac:dyDescent="0.3">
      <c r="B15" s="229" t="s">
        <v>112</v>
      </c>
      <c r="C15" s="230"/>
      <c r="D15" s="230"/>
      <c r="E15" s="230"/>
      <c r="F15" s="230"/>
      <c r="G15" s="230"/>
      <c r="H15" s="230"/>
      <c r="I15" s="230"/>
      <c r="J15" s="230"/>
      <c r="K15" s="230"/>
      <c r="L15" s="230"/>
      <c r="M15" s="230"/>
      <c r="N15" s="230"/>
      <c r="O15" s="231"/>
    </row>
    <row r="16" spans="2:15" ht="370.5" customHeight="1" thickBot="1" x14ac:dyDescent="0.3">
      <c r="B16" s="238" t="s">
        <v>150</v>
      </c>
      <c r="C16" s="239"/>
      <c r="D16" s="239"/>
      <c r="E16" s="239"/>
      <c r="F16" s="239"/>
      <c r="G16" s="239"/>
      <c r="H16" s="239"/>
      <c r="I16" s="239"/>
      <c r="J16" s="239"/>
      <c r="K16" s="239"/>
      <c r="L16" s="239"/>
      <c r="M16" s="239"/>
      <c r="N16" s="239"/>
      <c r="O16" s="240"/>
    </row>
    <row r="17" spans="2:15" ht="26.25" customHeight="1" thickBot="1" x14ac:dyDescent="0.3">
      <c r="B17" s="220" t="s">
        <v>113</v>
      </c>
      <c r="C17" s="221"/>
      <c r="D17" s="221"/>
      <c r="E17" s="221"/>
      <c r="F17" s="221"/>
      <c r="G17" s="221"/>
      <c r="H17" s="221"/>
      <c r="I17" s="221"/>
      <c r="J17" s="221"/>
      <c r="K17" s="221"/>
      <c r="L17" s="221"/>
      <c r="M17" s="221"/>
      <c r="N17" s="221"/>
      <c r="O17" s="222"/>
    </row>
    <row r="18" spans="2:15" ht="156" customHeight="1" x14ac:dyDescent="0.25">
      <c r="B18" s="223" t="s">
        <v>149</v>
      </c>
      <c r="C18" s="224"/>
      <c r="D18" s="224"/>
      <c r="E18" s="224"/>
      <c r="F18" s="224"/>
      <c r="G18" s="224"/>
      <c r="H18" s="224"/>
      <c r="I18" s="224"/>
      <c r="J18" s="224"/>
      <c r="K18" s="224"/>
      <c r="L18" s="224"/>
      <c r="M18" s="224"/>
      <c r="N18" s="224"/>
      <c r="O18" s="225"/>
    </row>
    <row r="19" spans="2:15" ht="15.75" thickBot="1" x14ac:dyDescent="0.3">
      <c r="B19" s="103"/>
      <c r="C19" s="102"/>
      <c r="D19" s="102"/>
      <c r="E19" s="102"/>
      <c r="F19" s="102"/>
      <c r="G19" s="102"/>
      <c r="H19" s="102"/>
      <c r="I19" s="102"/>
      <c r="J19" s="102"/>
      <c r="K19" s="102"/>
      <c r="L19" s="102"/>
      <c r="M19" s="104" t="s">
        <v>148</v>
      </c>
      <c r="N19" s="105">
        <v>44880</v>
      </c>
      <c r="O19" s="106"/>
    </row>
  </sheetData>
  <sheetProtection algorithmName="SHA-512" hashValue="aUzImSZwwJxfO/+VPfc3ygvq7oG9p3gsq3TKFPerQyoujVZP0NuX/WfECTbZHbk6+AsEX9eCgSWWyNCMbP5kZw==" saltValue="KQs6xIEwSGXGOnIeAvSXbA==" spinCount="100000" sheet="1" objects="1" scenarios="1" selectLockedCells="1" selectUnlockedCells="1"/>
  <mergeCells count="7">
    <mergeCell ref="B17:O17"/>
    <mergeCell ref="B18:O18"/>
    <mergeCell ref="B2:O2"/>
    <mergeCell ref="B3:O3"/>
    <mergeCell ref="B4:O14"/>
    <mergeCell ref="B15:O15"/>
    <mergeCell ref="B16:O16"/>
  </mergeCells>
  <printOptions horizontalCentered="1" verticalCentered="1"/>
  <pageMargins left="0.25" right="0.25" top="0.25" bottom="0.25" header="0.3" footer="0.3"/>
  <pageSetup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24792-9069-423A-98E2-1C4B74ADB2A8}">
  <sheetPr>
    <tabColor rgb="FFFFFF99"/>
    <pageSetUpPr fitToPage="1"/>
  </sheetPr>
  <dimension ref="B1:I47"/>
  <sheetViews>
    <sheetView zoomScale="70" zoomScaleNormal="70" workbookViewId="0">
      <selection activeCell="D35" sqref="D35"/>
    </sheetView>
  </sheetViews>
  <sheetFormatPr defaultRowHeight="15" x14ac:dyDescent="0.25"/>
  <cols>
    <col min="1" max="1" width="4.7109375" customWidth="1"/>
    <col min="2" max="2" width="43.85546875" customWidth="1"/>
    <col min="3" max="3" width="21.140625" customWidth="1"/>
    <col min="4" max="4" width="25.42578125" customWidth="1"/>
    <col min="5" max="6" width="17.42578125" customWidth="1"/>
    <col min="7" max="7" width="35.5703125" customWidth="1"/>
    <col min="8" max="8" width="5.140625" customWidth="1"/>
    <col min="9" max="9" width="14.5703125" customWidth="1"/>
  </cols>
  <sheetData>
    <row r="1" spans="2:8" ht="9.75" customHeight="1" x14ac:dyDescent="0.25"/>
    <row r="2" spans="2:8" ht="18" customHeight="1" x14ac:dyDescent="0.3">
      <c r="B2" s="2" t="s">
        <v>0</v>
      </c>
      <c r="D2" s="2"/>
      <c r="G2" s="3"/>
      <c r="H2" s="3"/>
    </row>
    <row r="3" spans="2:8" ht="46.5" customHeight="1" thickBot="1" x14ac:dyDescent="0.3">
      <c r="B3" s="241" t="s">
        <v>116</v>
      </c>
      <c r="C3" s="241"/>
      <c r="D3" s="241"/>
      <c r="E3" s="241"/>
      <c r="F3" s="241"/>
      <c r="G3" s="241"/>
    </row>
    <row r="4" spans="2:8" ht="33.75" customHeight="1" thickTop="1" thickBot="1" x14ac:dyDescent="0.3">
      <c r="B4" s="254" t="s">
        <v>100</v>
      </c>
      <c r="C4" s="255"/>
      <c r="D4" s="255"/>
      <c r="E4" s="255"/>
      <c r="F4" s="255"/>
      <c r="G4" s="256"/>
    </row>
    <row r="5" spans="2:8" ht="40.5" customHeight="1" thickBot="1" x14ac:dyDescent="0.3">
      <c r="B5" s="257" t="s">
        <v>101</v>
      </c>
      <c r="C5" s="258"/>
      <c r="D5" s="258"/>
      <c r="E5" s="258"/>
      <c r="F5" s="258"/>
      <c r="G5" s="259"/>
    </row>
    <row r="6" spans="2:8" ht="18" customHeight="1" x14ac:dyDescent="0.25">
      <c r="B6" s="248" t="s">
        <v>26</v>
      </c>
      <c r="C6" s="246" t="s">
        <v>69</v>
      </c>
      <c r="D6" s="242" t="s">
        <v>41</v>
      </c>
      <c r="E6" s="244" t="s">
        <v>5</v>
      </c>
      <c r="F6" s="252" t="s">
        <v>70</v>
      </c>
      <c r="G6" s="250" t="s">
        <v>7</v>
      </c>
    </row>
    <row r="7" spans="2:8" ht="68.25" customHeight="1" thickBot="1" x14ac:dyDescent="0.3">
      <c r="B7" s="249"/>
      <c r="C7" s="247"/>
      <c r="D7" s="243"/>
      <c r="E7" s="245"/>
      <c r="F7" s="253"/>
      <c r="G7" s="251"/>
    </row>
    <row r="8" spans="2:8" ht="18" customHeight="1" thickBot="1" x14ac:dyDescent="0.35">
      <c r="B8" s="152" t="s">
        <v>39</v>
      </c>
      <c r="C8" s="153"/>
      <c r="D8" s="154"/>
      <c r="E8" s="153"/>
      <c r="F8" s="153"/>
      <c r="G8" s="155"/>
    </row>
    <row r="9" spans="2:8" ht="18" customHeight="1" thickBot="1" x14ac:dyDescent="0.3">
      <c r="B9" s="129" t="s">
        <v>33</v>
      </c>
      <c r="C9" s="85">
        <v>485.6</v>
      </c>
      <c r="D9" s="139"/>
      <c r="E9" s="63" t="s">
        <v>6</v>
      </c>
      <c r="F9" s="64">
        <f t="shared" ref="F9:F15" si="0">C9*D9</f>
        <v>0</v>
      </c>
      <c r="G9" s="266" t="s">
        <v>128</v>
      </c>
    </row>
    <row r="10" spans="2:8" ht="18" customHeight="1" thickBot="1" x14ac:dyDescent="0.3">
      <c r="B10" s="129" t="s">
        <v>12</v>
      </c>
      <c r="C10" s="85">
        <v>470.4</v>
      </c>
      <c r="D10" s="139"/>
      <c r="E10" s="63" t="s">
        <v>6</v>
      </c>
      <c r="F10" s="64">
        <f t="shared" si="0"/>
        <v>0</v>
      </c>
      <c r="G10" s="267"/>
    </row>
    <row r="11" spans="2:8" ht="18" customHeight="1" thickBot="1" x14ac:dyDescent="0.3">
      <c r="B11" s="129" t="s">
        <v>13</v>
      </c>
      <c r="C11" s="85">
        <v>248.2</v>
      </c>
      <c r="D11" s="139"/>
      <c r="E11" s="63" t="s">
        <v>6</v>
      </c>
      <c r="F11" s="64">
        <f t="shared" si="0"/>
        <v>0</v>
      </c>
      <c r="G11" s="267"/>
    </row>
    <row r="12" spans="2:8" ht="18" customHeight="1" thickBot="1" x14ac:dyDescent="0.3">
      <c r="B12" s="129" t="s">
        <v>14</v>
      </c>
      <c r="C12" s="85">
        <v>227.6</v>
      </c>
      <c r="D12" s="139"/>
      <c r="E12" s="63" t="s">
        <v>6</v>
      </c>
      <c r="F12" s="64">
        <f t="shared" si="0"/>
        <v>0</v>
      </c>
      <c r="G12" s="267"/>
    </row>
    <row r="13" spans="2:8" ht="18" customHeight="1" thickBot="1" x14ac:dyDescent="0.3">
      <c r="B13" s="129" t="s">
        <v>15</v>
      </c>
      <c r="C13" s="85">
        <v>227.6</v>
      </c>
      <c r="D13" s="139"/>
      <c r="E13" s="63" t="s">
        <v>6</v>
      </c>
      <c r="F13" s="64">
        <f t="shared" si="0"/>
        <v>0</v>
      </c>
      <c r="G13" s="267"/>
    </row>
    <row r="14" spans="2:8" ht="18" customHeight="1" thickBot="1" x14ac:dyDescent="0.3">
      <c r="B14" s="129" t="s">
        <v>16</v>
      </c>
      <c r="C14" s="85">
        <v>185.3</v>
      </c>
      <c r="D14" s="139">
        <v>100</v>
      </c>
      <c r="E14" s="63" t="s">
        <v>6</v>
      </c>
      <c r="F14" s="64">
        <f t="shared" si="0"/>
        <v>18530</v>
      </c>
      <c r="G14" s="268"/>
      <c r="H14" s="18"/>
    </row>
    <row r="15" spans="2:8" ht="98.25" customHeight="1" thickBot="1" x14ac:dyDescent="0.3">
      <c r="B15" s="130" t="s">
        <v>11</v>
      </c>
      <c r="C15" s="85">
        <v>446.3</v>
      </c>
      <c r="D15" s="139"/>
      <c r="E15" s="63" t="s">
        <v>29</v>
      </c>
      <c r="F15" s="64">
        <f t="shared" si="0"/>
        <v>0</v>
      </c>
      <c r="G15" s="131" t="s">
        <v>42</v>
      </c>
    </row>
    <row r="16" spans="2:8" ht="18" customHeight="1" thickBot="1" x14ac:dyDescent="0.35">
      <c r="B16" s="148" t="s">
        <v>40</v>
      </c>
      <c r="C16" s="149"/>
      <c r="D16" s="150"/>
      <c r="E16" s="150"/>
      <c r="F16" s="150"/>
      <c r="G16" s="151"/>
    </row>
    <row r="17" spans="2:7" ht="18" customHeight="1" thickBot="1" x14ac:dyDescent="0.3">
      <c r="B17" s="129" t="s">
        <v>17</v>
      </c>
      <c r="C17" s="85">
        <v>1.3</v>
      </c>
      <c r="D17" s="139"/>
      <c r="E17" s="65" t="s">
        <v>3</v>
      </c>
      <c r="F17" s="64">
        <f t="shared" ref="F17:F23" si="1">C17*D17</f>
        <v>0</v>
      </c>
      <c r="G17" s="132"/>
    </row>
    <row r="18" spans="2:7" ht="18" customHeight="1" thickBot="1" x14ac:dyDescent="0.3">
      <c r="B18" s="129" t="s">
        <v>18</v>
      </c>
      <c r="C18" s="86">
        <v>0.8</v>
      </c>
      <c r="D18" s="139">
        <v>10000</v>
      </c>
      <c r="E18" s="65" t="s">
        <v>3</v>
      </c>
      <c r="F18" s="64">
        <f t="shared" si="1"/>
        <v>8000</v>
      </c>
      <c r="G18" s="132"/>
    </row>
    <row r="19" spans="2:7" ht="32.25" customHeight="1" thickBot="1" x14ac:dyDescent="0.3">
      <c r="B19" s="129" t="s">
        <v>34</v>
      </c>
      <c r="C19" s="86">
        <v>0.6</v>
      </c>
      <c r="D19" s="139"/>
      <c r="E19" s="65" t="s">
        <v>3</v>
      </c>
      <c r="F19" s="64">
        <f t="shared" si="1"/>
        <v>0</v>
      </c>
      <c r="G19" s="131" t="s">
        <v>57</v>
      </c>
    </row>
    <row r="20" spans="2:7" ht="18" customHeight="1" thickBot="1" x14ac:dyDescent="0.3">
      <c r="B20" s="129" t="s">
        <v>19</v>
      </c>
      <c r="C20" s="86">
        <v>0.6</v>
      </c>
      <c r="D20" s="139"/>
      <c r="E20" s="65" t="s">
        <v>3</v>
      </c>
      <c r="F20" s="64">
        <f t="shared" si="1"/>
        <v>0</v>
      </c>
      <c r="G20" s="132"/>
    </row>
    <row r="21" spans="2:7" ht="18" customHeight="1" thickBot="1" x14ac:dyDescent="0.3">
      <c r="B21" s="129" t="s">
        <v>20</v>
      </c>
      <c r="C21" s="87">
        <v>1340</v>
      </c>
      <c r="D21" s="139"/>
      <c r="E21" s="65" t="s">
        <v>4</v>
      </c>
      <c r="F21" s="64">
        <f t="shared" si="1"/>
        <v>0</v>
      </c>
      <c r="G21" s="132"/>
    </row>
    <row r="22" spans="2:7" ht="18" customHeight="1" thickBot="1" x14ac:dyDescent="0.3">
      <c r="B22" s="129" t="s">
        <v>21</v>
      </c>
      <c r="C22" s="87">
        <v>1027</v>
      </c>
      <c r="D22" s="139"/>
      <c r="E22" s="65" t="s">
        <v>4</v>
      </c>
      <c r="F22" s="64">
        <f t="shared" si="1"/>
        <v>0</v>
      </c>
      <c r="G22" s="132"/>
    </row>
    <row r="23" spans="2:7" ht="18" customHeight="1" thickBot="1" x14ac:dyDescent="0.3">
      <c r="B23" s="129" t="s">
        <v>22</v>
      </c>
      <c r="C23" s="87">
        <v>1284</v>
      </c>
      <c r="D23" s="139"/>
      <c r="E23" s="65" t="s">
        <v>4</v>
      </c>
      <c r="F23" s="64">
        <f t="shared" si="1"/>
        <v>0</v>
      </c>
      <c r="G23" s="132"/>
    </row>
    <row r="24" spans="2:7" ht="18" customHeight="1" thickBot="1" x14ac:dyDescent="0.35">
      <c r="B24" s="148" t="s">
        <v>28</v>
      </c>
      <c r="C24" s="149"/>
      <c r="D24" s="150"/>
      <c r="E24" s="150"/>
      <c r="F24" s="150"/>
      <c r="G24" s="151"/>
    </row>
    <row r="25" spans="2:7" ht="18" customHeight="1" thickBot="1" x14ac:dyDescent="0.3">
      <c r="B25" s="129" t="s">
        <v>23</v>
      </c>
      <c r="C25" s="86">
        <v>0</v>
      </c>
      <c r="D25" s="139"/>
      <c r="E25" s="65" t="s">
        <v>4</v>
      </c>
      <c r="F25" s="64">
        <f>C25*D25</f>
        <v>0</v>
      </c>
      <c r="G25" s="132" t="s">
        <v>30</v>
      </c>
    </row>
    <row r="26" spans="2:7" ht="18" customHeight="1" thickBot="1" x14ac:dyDescent="0.3">
      <c r="B26" s="129" t="s">
        <v>24</v>
      </c>
      <c r="C26" s="87">
        <v>1786</v>
      </c>
      <c r="D26" s="139"/>
      <c r="E26" s="65" t="s">
        <v>4</v>
      </c>
      <c r="F26" s="64">
        <f>C26*D26</f>
        <v>0</v>
      </c>
      <c r="G26" s="132"/>
    </row>
    <row r="27" spans="2:7" ht="18" customHeight="1" thickBot="1" x14ac:dyDescent="0.3">
      <c r="B27" s="129" t="s">
        <v>25</v>
      </c>
      <c r="C27" s="87">
        <v>4285</v>
      </c>
      <c r="D27" s="139"/>
      <c r="E27" s="65" t="s">
        <v>4</v>
      </c>
      <c r="F27" s="64">
        <f>C27*D27</f>
        <v>0</v>
      </c>
      <c r="G27" s="132"/>
    </row>
    <row r="28" spans="2:7" ht="18" customHeight="1" thickBot="1" x14ac:dyDescent="0.35">
      <c r="B28" s="148" t="s">
        <v>85</v>
      </c>
      <c r="C28" s="149"/>
      <c r="D28" s="150"/>
      <c r="E28" s="150"/>
      <c r="F28" s="150"/>
      <c r="G28" s="151"/>
    </row>
    <row r="29" spans="2:7" ht="18" customHeight="1" thickBot="1" x14ac:dyDescent="0.3">
      <c r="B29" s="133" t="s">
        <v>81</v>
      </c>
      <c r="C29" s="87">
        <f>((80000/7.48)/5)*(75/12)*7.48/365</f>
        <v>273.97260273972603</v>
      </c>
      <c r="D29" s="140"/>
      <c r="E29" s="88" t="s">
        <v>45</v>
      </c>
      <c r="F29" s="64">
        <f t="shared" ref="F29:F35" si="2">C29*D29</f>
        <v>0</v>
      </c>
      <c r="G29" s="263" t="s">
        <v>97</v>
      </c>
    </row>
    <row r="30" spans="2:7" ht="38.25" customHeight="1" thickBot="1" x14ac:dyDescent="0.3">
      <c r="B30" s="133" t="s">
        <v>80</v>
      </c>
      <c r="C30" s="87">
        <f>((45000/7.48)/5)*(75/12)*7.48/365</f>
        <v>154.10958904109589</v>
      </c>
      <c r="D30" s="140">
        <v>1</v>
      </c>
      <c r="E30" s="88" t="s">
        <v>45</v>
      </c>
      <c r="F30" s="64">
        <f t="shared" si="2"/>
        <v>154.10958904109589</v>
      </c>
      <c r="G30" s="264"/>
    </row>
    <row r="31" spans="2:7" ht="24.75" customHeight="1" thickBot="1" x14ac:dyDescent="0.3">
      <c r="B31" s="133" t="s">
        <v>43</v>
      </c>
      <c r="C31" s="87">
        <f>((22000/7.48)/5)*(75/12)*7.48/365</f>
        <v>75.342465753424662</v>
      </c>
      <c r="D31" s="140">
        <v>1</v>
      </c>
      <c r="E31" s="88" t="s">
        <v>45</v>
      </c>
      <c r="F31" s="64">
        <f t="shared" si="2"/>
        <v>75.342465753424662</v>
      </c>
      <c r="G31" s="264"/>
    </row>
    <row r="32" spans="2:7" ht="16.5" customHeight="1" thickBot="1" x14ac:dyDescent="0.3">
      <c r="B32" s="133" t="s">
        <v>44</v>
      </c>
      <c r="C32" s="87">
        <f>((15000/7.48)/5)*(75/12)*7.48/365</f>
        <v>51.369863013698627</v>
      </c>
      <c r="D32" s="140"/>
      <c r="E32" s="88" t="s">
        <v>45</v>
      </c>
      <c r="F32" s="64">
        <f t="shared" si="2"/>
        <v>0</v>
      </c>
      <c r="G32" s="265"/>
    </row>
    <row r="33" spans="2:9" ht="63.75" customHeight="1" thickBot="1" x14ac:dyDescent="0.3">
      <c r="B33" s="134" t="s">
        <v>55</v>
      </c>
      <c r="C33" s="65">
        <f>35/365</f>
        <v>9.5890410958904104E-2</v>
      </c>
      <c r="D33" s="141"/>
      <c r="E33" s="65" t="s">
        <v>3</v>
      </c>
      <c r="F33" s="64">
        <f t="shared" si="2"/>
        <v>0</v>
      </c>
      <c r="G33" s="135" t="s">
        <v>98</v>
      </c>
    </row>
    <row r="34" spans="2:9" ht="63" customHeight="1" thickBot="1" x14ac:dyDescent="0.3">
      <c r="B34" s="134" t="s">
        <v>56</v>
      </c>
      <c r="C34" s="65">
        <f>9/365</f>
        <v>2.4657534246575342E-2</v>
      </c>
      <c r="D34" s="141"/>
      <c r="E34" s="65" t="s">
        <v>3</v>
      </c>
      <c r="F34" s="64">
        <f t="shared" si="2"/>
        <v>0</v>
      </c>
      <c r="G34" s="135" t="s">
        <v>99</v>
      </c>
    </row>
    <row r="35" spans="2:9" ht="95.25" customHeight="1" thickBot="1" x14ac:dyDescent="0.3">
      <c r="B35" s="134" t="s">
        <v>84</v>
      </c>
      <c r="C35" s="65">
        <f>IF(D35&gt;0,((69.483*D35)+ 7.8202)*0.68/D35,0)</f>
        <v>0</v>
      </c>
      <c r="D35" s="141"/>
      <c r="E35" s="138" t="s">
        <v>126</v>
      </c>
      <c r="F35" s="64">
        <f t="shared" si="2"/>
        <v>0</v>
      </c>
      <c r="G35" s="131" t="s">
        <v>125</v>
      </c>
      <c r="I35" s="97"/>
    </row>
    <row r="36" spans="2:9" ht="18" customHeight="1" thickBot="1" x14ac:dyDescent="0.35">
      <c r="B36" s="148" t="s">
        <v>66</v>
      </c>
      <c r="C36" s="149"/>
      <c r="D36" s="150"/>
      <c r="E36" s="150"/>
      <c r="F36" s="150"/>
      <c r="G36" s="151"/>
    </row>
    <row r="37" spans="2:9" ht="18" customHeight="1" thickBot="1" x14ac:dyDescent="0.3">
      <c r="B37" s="133" t="s">
        <v>81</v>
      </c>
      <c r="C37" s="64">
        <f>(200*8)/7</f>
        <v>228.57142857142858</v>
      </c>
      <c r="D37" s="156">
        <f>D29</f>
        <v>0</v>
      </c>
      <c r="E37" s="65" t="s">
        <v>45</v>
      </c>
      <c r="F37" s="64">
        <f>C37*D37</f>
        <v>0</v>
      </c>
      <c r="G37" s="266" t="s">
        <v>82</v>
      </c>
    </row>
    <row r="38" spans="2:9" ht="32.25" customHeight="1" thickBot="1" x14ac:dyDescent="0.3">
      <c r="B38" s="133" t="s">
        <v>80</v>
      </c>
      <c r="C38" s="64">
        <f>(150*8)/7</f>
        <v>171.42857142857142</v>
      </c>
      <c r="D38" s="156">
        <f>D30</f>
        <v>1</v>
      </c>
      <c r="E38" s="65" t="s">
        <v>45</v>
      </c>
      <c r="F38" s="64">
        <f>C38*D38</f>
        <v>171.42857142857142</v>
      </c>
      <c r="G38" s="267"/>
    </row>
    <row r="39" spans="2:9" ht="18" customHeight="1" thickBot="1" x14ac:dyDescent="0.3">
      <c r="B39" s="133" t="s">
        <v>43</v>
      </c>
      <c r="C39" s="64">
        <f>(100*8)/7</f>
        <v>114.28571428571429</v>
      </c>
      <c r="D39" s="156">
        <f>D31</f>
        <v>1</v>
      </c>
      <c r="E39" s="65" t="s">
        <v>45</v>
      </c>
      <c r="F39" s="64">
        <f>C39*D39</f>
        <v>114.28571428571429</v>
      </c>
      <c r="G39" s="267"/>
    </row>
    <row r="40" spans="2:9" ht="33.75" customHeight="1" thickBot="1" x14ac:dyDescent="0.3">
      <c r="B40" s="133" t="s">
        <v>44</v>
      </c>
      <c r="C40" s="64">
        <f>(50*8)/7</f>
        <v>57.142857142857146</v>
      </c>
      <c r="D40" s="156">
        <f>D32</f>
        <v>0</v>
      </c>
      <c r="E40" s="65" t="s">
        <v>45</v>
      </c>
      <c r="F40" s="64">
        <f>C40*D40</f>
        <v>0</v>
      </c>
      <c r="G40" s="268"/>
    </row>
    <row r="41" spans="2:9" ht="6.95" customHeight="1" thickBot="1" x14ac:dyDescent="0.3">
      <c r="B41" s="93"/>
      <c r="C41" s="68"/>
      <c r="D41" s="68"/>
      <c r="E41" s="68"/>
      <c r="F41" s="69"/>
      <c r="G41" s="136"/>
    </row>
    <row r="42" spans="2:9" ht="18" customHeight="1" thickBot="1" x14ac:dyDescent="0.4">
      <c r="B42" s="144" t="s">
        <v>71</v>
      </c>
      <c r="C42" s="145"/>
      <c r="D42" s="146"/>
      <c r="E42" s="147"/>
      <c r="F42" s="67">
        <f>SUM(F9:F40)</f>
        <v>27045.166340508804</v>
      </c>
      <c r="G42" s="137" t="s">
        <v>2</v>
      </c>
    </row>
    <row r="43" spans="2:9" ht="6.95" customHeight="1" thickBot="1" x14ac:dyDescent="0.3">
      <c r="B43" s="98"/>
      <c r="C43" s="99"/>
      <c r="D43" s="99"/>
      <c r="E43" s="99"/>
      <c r="F43" s="68"/>
      <c r="G43" s="94"/>
    </row>
    <row r="44" spans="2:9" ht="15.75" x14ac:dyDescent="0.25">
      <c r="B44" s="269" t="s">
        <v>27</v>
      </c>
      <c r="C44" s="270"/>
      <c r="D44" s="270"/>
      <c r="E44" s="270"/>
      <c r="F44" s="270"/>
      <c r="G44" s="271"/>
    </row>
    <row r="45" spans="2:9" ht="67.5" customHeight="1" x14ac:dyDescent="0.25">
      <c r="B45" s="260" t="s">
        <v>111</v>
      </c>
      <c r="C45" s="261"/>
      <c r="D45" s="261"/>
      <c r="E45" s="261"/>
      <c r="F45" s="261"/>
      <c r="G45" s="262"/>
    </row>
    <row r="46" spans="2:9" ht="15.75" thickBot="1" x14ac:dyDescent="0.3">
      <c r="B46" s="125"/>
      <c r="C46" s="126"/>
      <c r="D46" s="126"/>
      <c r="E46" s="126"/>
      <c r="F46" s="127" t="s">
        <v>102</v>
      </c>
      <c r="G46" s="128">
        <f ca="1">TODAY()</f>
        <v>45056</v>
      </c>
    </row>
    <row r="47" spans="2:9" ht="15.75" thickTop="1" x14ac:dyDescent="0.25"/>
  </sheetData>
  <sheetProtection algorithmName="SHA-512" hashValue="KC5Nf1r73rjftzDtMBNrnOOZm5mXUU2q2/GrEwMWuvk/ZiZAApfZomvyMRuv/SgQ7HGUafBd2ohnXsU989VwPg==" saltValue="oXaHDnLFp750s7qaiN57uQ==" spinCount="100000" sheet="1" objects="1" scenarios="1" selectLockedCells="1"/>
  <mergeCells count="14">
    <mergeCell ref="B45:G45"/>
    <mergeCell ref="G29:G32"/>
    <mergeCell ref="G37:G40"/>
    <mergeCell ref="B44:G44"/>
    <mergeCell ref="G9:G14"/>
    <mergeCell ref="B3:G3"/>
    <mergeCell ref="D6:D7"/>
    <mergeCell ref="E6:E7"/>
    <mergeCell ref="C6:C7"/>
    <mergeCell ref="B6:B7"/>
    <mergeCell ref="G6:G7"/>
    <mergeCell ref="F6:F7"/>
    <mergeCell ref="B4:G4"/>
    <mergeCell ref="B5:G5"/>
  </mergeCells>
  <phoneticPr fontId="8" type="noConversion"/>
  <conditionalFormatting sqref="D17:D23 D25:D27 D9:D15 D29:D33">
    <cfRule type="cellIs" dxfId="9" priority="15" operator="equal">
      <formula>0</formula>
    </cfRule>
  </conditionalFormatting>
  <conditionalFormatting sqref="D9:D15 D17:D23 D25:D27 D29:D33">
    <cfRule type="cellIs" dxfId="8" priority="14" stopIfTrue="1" operator="greaterThan">
      <formula>0</formula>
    </cfRule>
  </conditionalFormatting>
  <conditionalFormatting sqref="D34">
    <cfRule type="cellIs" dxfId="7" priority="7" operator="equal">
      <formula>0</formula>
    </cfRule>
  </conditionalFormatting>
  <conditionalFormatting sqref="D34">
    <cfRule type="cellIs" dxfId="6" priority="6" stopIfTrue="1" operator="greaterThan">
      <formula>0</formula>
    </cfRule>
  </conditionalFormatting>
  <conditionalFormatting sqref="D35">
    <cfRule type="cellIs" dxfId="5" priority="3" operator="equal">
      <formula>0</formula>
    </cfRule>
  </conditionalFormatting>
  <conditionalFormatting sqref="D35">
    <cfRule type="cellIs" dxfId="4" priority="2" stopIfTrue="1" operator="greaterThan">
      <formula>0</formula>
    </cfRule>
  </conditionalFormatting>
  <conditionalFormatting sqref="D37:D40">
    <cfRule type="cellIs" dxfId="3" priority="1" operator="greaterThan">
      <formula>0</formula>
    </cfRule>
  </conditionalFormatting>
  <pageMargins left="0.25" right="0.25" top="0.25" bottom="0.25" header="0.3" footer="0.3"/>
  <pageSetup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CF0F3-46B8-432C-A481-A3A6FABB67B2}">
  <sheetPr>
    <tabColor rgb="FFFFFF99"/>
    <pageSetUpPr fitToPage="1"/>
  </sheetPr>
  <dimension ref="B1:H19"/>
  <sheetViews>
    <sheetView zoomScale="70" zoomScaleNormal="70" zoomScaleSheetLayoutView="55" workbookViewId="0">
      <selection activeCell="B9" sqref="B9"/>
    </sheetView>
  </sheetViews>
  <sheetFormatPr defaultRowHeight="15" x14ac:dyDescent="0.25"/>
  <cols>
    <col min="1" max="1" width="5.85546875" customWidth="1"/>
    <col min="2" max="2" width="25.140625" style="54" customWidth="1"/>
    <col min="3" max="3" width="49.42578125" customWidth="1"/>
    <col min="4" max="5" width="9.5703125" customWidth="1"/>
    <col min="6" max="6" width="11.42578125" customWidth="1"/>
    <col min="7" max="7" width="49.85546875" customWidth="1"/>
    <col min="8" max="8" width="6" customWidth="1"/>
    <col min="9" max="9" width="14.5703125" customWidth="1"/>
  </cols>
  <sheetData>
    <row r="1" spans="2:8" ht="18" customHeight="1" x14ac:dyDescent="0.25"/>
    <row r="2" spans="2:8" ht="18" customHeight="1" x14ac:dyDescent="0.3">
      <c r="B2" s="2" t="s">
        <v>0</v>
      </c>
      <c r="D2" s="2"/>
      <c r="G2" s="3"/>
      <c r="H2" s="3"/>
    </row>
    <row r="3" spans="2:8" ht="42" customHeight="1" thickBot="1" x14ac:dyDescent="0.3">
      <c r="B3" s="241" t="s">
        <v>123</v>
      </c>
      <c r="C3" s="241"/>
      <c r="D3" s="241"/>
      <c r="E3" s="241"/>
      <c r="F3" s="241"/>
      <c r="G3" s="241"/>
    </row>
    <row r="4" spans="2:8" ht="45.75" customHeight="1" thickTop="1" thickBot="1" x14ac:dyDescent="0.3">
      <c r="B4" s="278" t="s">
        <v>117</v>
      </c>
      <c r="C4" s="279"/>
      <c r="D4" s="279"/>
      <c r="E4" s="279"/>
      <c r="F4" s="279"/>
      <c r="G4" s="280"/>
    </row>
    <row r="5" spans="2:8" ht="31.5" customHeight="1" thickBot="1" x14ac:dyDescent="0.3">
      <c r="B5" s="287" t="str">
        <f>IF(OR('1_ENTER WATER USE INPUTS'!$B$5="ENTER DEVELOPMENT NAME &amp; CITY REVIEW CASE NUMBER HERE",'1_ENTER WATER USE INPUTS'!$B$5=""),"FILL IN DEVELOPMENT NAME AND CITY CASE NUMBER ON TAB 1",'1_ENTER WATER USE INPUTS'!$B$5)</f>
        <v>FILL IN DEVELOPMENT NAME AND CITY CASE NUMBER ON TAB 1</v>
      </c>
      <c r="C5" s="288"/>
      <c r="D5" s="288"/>
      <c r="E5" s="288"/>
      <c r="F5" s="288"/>
      <c r="G5" s="289"/>
    </row>
    <row r="6" spans="2:8" ht="62.25" customHeight="1" thickBot="1" x14ac:dyDescent="0.3">
      <c r="B6" s="159" t="s">
        <v>120</v>
      </c>
      <c r="C6" s="158" t="s">
        <v>119</v>
      </c>
      <c r="D6" s="281" t="s">
        <v>90</v>
      </c>
      <c r="E6" s="282"/>
      <c r="F6" s="282"/>
      <c r="G6" s="283"/>
    </row>
    <row r="7" spans="2:8" ht="35.25" customHeight="1" thickBot="1" x14ac:dyDescent="0.3">
      <c r="B7" s="142" t="s">
        <v>110</v>
      </c>
      <c r="C7" s="107" t="s">
        <v>103</v>
      </c>
      <c r="D7" s="275" t="s">
        <v>115</v>
      </c>
      <c r="E7" s="276"/>
      <c r="F7" s="276"/>
      <c r="G7" s="277"/>
    </row>
    <row r="8" spans="2:8" ht="37.5" customHeight="1" thickBot="1" x14ac:dyDescent="0.3">
      <c r="B8" s="142" t="s">
        <v>110</v>
      </c>
      <c r="C8" s="107" t="s">
        <v>104</v>
      </c>
      <c r="D8" s="275" t="s">
        <v>95</v>
      </c>
      <c r="E8" s="276"/>
      <c r="F8" s="276"/>
      <c r="G8" s="277"/>
    </row>
    <row r="9" spans="2:8" ht="39" customHeight="1" thickBot="1" x14ac:dyDescent="0.3">
      <c r="B9" s="142" t="s">
        <v>110</v>
      </c>
      <c r="C9" s="107" t="s">
        <v>105</v>
      </c>
      <c r="D9" s="275" t="s">
        <v>91</v>
      </c>
      <c r="E9" s="276"/>
      <c r="F9" s="276"/>
      <c r="G9" s="277"/>
    </row>
    <row r="10" spans="2:8" ht="33" customHeight="1" thickBot="1" x14ac:dyDescent="0.3">
      <c r="B10" s="142"/>
      <c r="C10" s="107" t="s">
        <v>106</v>
      </c>
      <c r="D10" s="275" t="s">
        <v>96</v>
      </c>
      <c r="E10" s="276"/>
      <c r="F10" s="276"/>
      <c r="G10" s="277"/>
    </row>
    <row r="11" spans="2:8" ht="33.75" customHeight="1" thickBot="1" x14ac:dyDescent="0.3">
      <c r="B11" s="142"/>
      <c r="C11" s="107" t="s">
        <v>118</v>
      </c>
      <c r="D11" s="275" t="s">
        <v>121</v>
      </c>
      <c r="E11" s="276"/>
      <c r="F11" s="276"/>
      <c r="G11" s="277"/>
    </row>
    <row r="12" spans="2:8" ht="39" customHeight="1" thickBot="1" x14ac:dyDescent="0.3">
      <c r="B12" s="142"/>
      <c r="C12" s="107" t="s">
        <v>107</v>
      </c>
      <c r="D12" s="275" t="s">
        <v>92</v>
      </c>
      <c r="E12" s="276"/>
      <c r="F12" s="276"/>
      <c r="G12" s="277"/>
    </row>
    <row r="13" spans="2:8" ht="50.25" customHeight="1" thickBot="1" x14ac:dyDescent="0.3">
      <c r="B13" s="142"/>
      <c r="C13" s="107" t="s">
        <v>108</v>
      </c>
      <c r="D13" s="275" t="s">
        <v>93</v>
      </c>
      <c r="E13" s="276"/>
      <c r="F13" s="276"/>
      <c r="G13" s="277"/>
    </row>
    <row r="14" spans="2:8" ht="63" customHeight="1" thickBot="1" x14ac:dyDescent="0.3">
      <c r="B14" s="143"/>
      <c r="C14" s="108" t="s">
        <v>109</v>
      </c>
      <c r="D14" s="284" t="s">
        <v>94</v>
      </c>
      <c r="E14" s="285"/>
      <c r="F14" s="285"/>
      <c r="G14" s="286"/>
      <c r="H14" s="18"/>
    </row>
    <row r="15" spans="2:8" ht="6.95" customHeight="1" thickBot="1" x14ac:dyDescent="0.3">
      <c r="B15" s="121"/>
      <c r="C15" s="12"/>
      <c r="D15" s="12"/>
      <c r="E15" s="12"/>
      <c r="F15" s="12"/>
      <c r="G15" s="122"/>
    </row>
    <row r="16" spans="2:8" ht="15.75" x14ac:dyDescent="0.25">
      <c r="B16" s="123" t="s">
        <v>27</v>
      </c>
      <c r="C16" s="66"/>
      <c r="D16" s="66"/>
      <c r="E16" s="66"/>
      <c r="F16" s="66"/>
      <c r="G16" s="124"/>
    </row>
    <row r="17" spans="2:7" ht="36" customHeight="1" x14ac:dyDescent="0.25">
      <c r="B17" s="272" t="s">
        <v>122</v>
      </c>
      <c r="C17" s="273"/>
      <c r="D17" s="273"/>
      <c r="E17" s="273"/>
      <c r="F17" s="273"/>
      <c r="G17" s="274"/>
    </row>
    <row r="18" spans="2:7" ht="15.75" thickBot="1" x14ac:dyDescent="0.3">
      <c r="B18" s="125"/>
      <c r="C18" s="126"/>
      <c r="D18" s="126"/>
      <c r="E18" s="126"/>
      <c r="F18" s="127" t="s">
        <v>102</v>
      </c>
      <c r="G18" s="128">
        <f ca="1">TODAY()</f>
        <v>45056</v>
      </c>
    </row>
    <row r="19" spans="2:7" ht="15.75" thickTop="1" x14ac:dyDescent="0.25"/>
  </sheetData>
  <sheetProtection algorithmName="SHA-512" hashValue="RDl/CezaRTiqHe9muS5pSKALntjRWl108D3YKSz6HyQbqX4nabXE5kFBOMdPppkdpgmaNyNnL1GDzIsKhmAlOA==" saltValue="KJgb7NjFl3fiemycoKwI9w==" spinCount="100000" sheet="1" objects="1" scenarios="1" selectLockedCells="1"/>
  <mergeCells count="13">
    <mergeCell ref="B17:G17"/>
    <mergeCell ref="D7:G7"/>
    <mergeCell ref="B3:G3"/>
    <mergeCell ref="B4:G4"/>
    <mergeCell ref="D6:G6"/>
    <mergeCell ref="D8:G8"/>
    <mergeCell ref="D9:G9"/>
    <mergeCell ref="D10:G10"/>
    <mergeCell ref="D11:G11"/>
    <mergeCell ref="D12:G12"/>
    <mergeCell ref="D13:G13"/>
    <mergeCell ref="D14:G14"/>
    <mergeCell ref="B5:G5"/>
  </mergeCells>
  <conditionalFormatting sqref="B7:B14">
    <cfRule type="cellIs" dxfId="2" priority="2" operator="equal">
      <formula>0</formula>
    </cfRule>
  </conditionalFormatting>
  <conditionalFormatting sqref="B7:B14">
    <cfRule type="cellIs" dxfId="1" priority="1" stopIfTrue="1" operator="greaterThan">
      <formula>0</formula>
    </cfRule>
  </conditionalFormatting>
  <printOptions horizontalCentered="1" verticalCentered="1"/>
  <pageMargins left="0.25" right="0.25" top="0.25" bottom="0.25" header="0.3" footer="0.3"/>
  <pageSetup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4A01-5C46-40C7-86AD-DD0824E9CD5C}">
  <sheetPr>
    <tabColor theme="8" tint="-0.499984740745262"/>
    <pageSetUpPr fitToPage="1"/>
  </sheetPr>
  <dimension ref="B1:K31"/>
  <sheetViews>
    <sheetView zoomScale="70" zoomScaleNormal="70" workbookViewId="0">
      <selection activeCell="C1" sqref="C1"/>
    </sheetView>
  </sheetViews>
  <sheetFormatPr defaultRowHeight="15" x14ac:dyDescent="0.25"/>
  <cols>
    <col min="1" max="1" width="2.5703125" customWidth="1"/>
    <col min="2" max="2" width="5.7109375" customWidth="1"/>
    <col min="4" max="4" width="10.42578125" customWidth="1"/>
    <col min="5" max="5" width="12.28515625" customWidth="1"/>
    <col min="8" max="8" width="22.42578125" customWidth="1"/>
    <col min="9" max="9" width="22.5703125" customWidth="1"/>
    <col min="10" max="10" width="3.7109375" customWidth="1"/>
    <col min="11" max="11" width="2.42578125" customWidth="1"/>
  </cols>
  <sheetData>
    <row r="1" spans="2:11" ht="15.75" thickBot="1" x14ac:dyDescent="0.3"/>
    <row r="2" spans="2:11" ht="27.75" thickTop="1" thickBot="1" x14ac:dyDescent="0.45">
      <c r="B2" s="290" t="s">
        <v>132</v>
      </c>
      <c r="C2" s="291"/>
      <c r="D2" s="291"/>
      <c r="E2" s="291"/>
      <c r="F2" s="291"/>
      <c r="G2" s="291"/>
      <c r="H2" s="291"/>
      <c r="I2" s="291"/>
      <c r="J2" s="292"/>
      <c r="K2" s="161"/>
    </row>
    <row r="3" spans="2:11" ht="27" customHeight="1" thickBot="1" x14ac:dyDescent="0.3">
      <c r="B3" s="287" t="str">
        <f>IF(OR('1_ENTER WATER USE INPUTS'!$B$5="ENTER DEVELOPMENT NAME &amp; CITY REVIEW CASE NUMBER HERE",'1_ENTER WATER USE INPUTS'!$B$5=""),"FILL IN DEVELOPMENT NAME AND CITY CASE NUMBER ON TAB 1",'1_ENTER WATER USE INPUTS'!$B$5)</f>
        <v>FILL IN DEVELOPMENT NAME AND CITY CASE NUMBER ON TAB 1</v>
      </c>
      <c r="C3" s="288"/>
      <c r="D3" s="288"/>
      <c r="E3" s="288"/>
      <c r="F3" s="288"/>
      <c r="G3" s="288"/>
      <c r="H3" s="288"/>
      <c r="I3" s="288"/>
      <c r="J3" s="289"/>
      <c r="K3" s="162"/>
    </row>
    <row r="4" spans="2:11" ht="7.5" customHeight="1" thickBot="1" x14ac:dyDescent="0.3">
      <c r="B4" s="163"/>
      <c r="J4" s="112"/>
    </row>
    <row r="5" spans="2:11" ht="19.5" thickBot="1" x14ac:dyDescent="0.3">
      <c r="B5" s="297" t="s">
        <v>135</v>
      </c>
      <c r="C5" s="298"/>
      <c r="D5" s="298"/>
      <c r="E5" s="298"/>
      <c r="F5" s="298"/>
      <c r="G5" s="298"/>
      <c r="H5" s="298"/>
      <c r="I5" s="298"/>
      <c r="J5" s="299"/>
    </row>
    <row r="6" spans="2:11" ht="6" customHeight="1" thickBot="1" x14ac:dyDescent="0.35">
      <c r="B6" s="169"/>
      <c r="C6" s="170"/>
      <c r="D6" s="170"/>
      <c r="E6" s="170"/>
      <c r="F6" s="170"/>
      <c r="G6" s="170"/>
      <c r="H6" s="170"/>
      <c r="I6" s="171"/>
      <c r="J6" s="165"/>
    </row>
    <row r="7" spans="2:11" ht="20.25" thickTop="1" thickBot="1" x14ac:dyDescent="0.35">
      <c r="B7" s="169"/>
      <c r="E7" s="170"/>
      <c r="H7" s="217">
        <f>'1_ENTER WATER USE INPUTS'!F42</f>
        <v>27045.166340508804</v>
      </c>
      <c r="I7" s="172" t="s">
        <v>129</v>
      </c>
      <c r="J7" s="165"/>
    </row>
    <row r="8" spans="2:11" ht="6.75" customHeight="1" thickTop="1" thickBot="1" x14ac:dyDescent="0.35">
      <c r="B8" s="163"/>
      <c r="I8" s="3"/>
      <c r="J8" s="166"/>
    </row>
    <row r="9" spans="2:11" ht="19.5" thickBot="1" x14ac:dyDescent="0.3">
      <c r="B9" s="297" t="s">
        <v>133</v>
      </c>
      <c r="C9" s="298"/>
      <c r="D9" s="298"/>
      <c r="E9" s="298"/>
      <c r="F9" s="298"/>
      <c r="G9" s="298"/>
      <c r="H9" s="298"/>
      <c r="I9" s="298"/>
      <c r="J9" s="299"/>
    </row>
    <row r="10" spans="2:11" ht="6" customHeight="1" thickBot="1" x14ac:dyDescent="0.35">
      <c r="B10" s="169"/>
      <c r="C10" s="170"/>
      <c r="D10" s="170"/>
      <c r="E10" s="170"/>
      <c r="F10" s="170"/>
      <c r="G10" s="170"/>
      <c r="H10" s="170"/>
      <c r="I10" s="171"/>
      <c r="J10" s="167"/>
    </row>
    <row r="11" spans="2:11" ht="20.25" thickTop="1" thickBot="1" x14ac:dyDescent="0.35">
      <c r="B11" s="169"/>
      <c r="E11" s="170"/>
      <c r="H11" s="217">
        <f>'4_USE SUMMARY W GRAPH'!C11</f>
        <v>6832.4520547945203</v>
      </c>
      <c r="I11" s="173" t="s">
        <v>129</v>
      </c>
      <c r="J11" s="167"/>
    </row>
    <row r="12" spans="2:11" ht="7.5" customHeight="1" thickTop="1" thickBot="1" x14ac:dyDescent="0.3">
      <c r="B12" s="163"/>
      <c r="J12" s="112"/>
    </row>
    <row r="13" spans="2:11" ht="21" customHeight="1" thickBot="1" x14ac:dyDescent="0.3">
      <c r="B13" s="297" t="s">
        <v>139</v>
      </c>
      <c r="C13" s="298"/>
      <c r="D13" s="298"/>
      <c r="E13" s="298"/>
      <c r="F13" s="298"/>
      <c r="G13" s="298"/>
      <c r="H13" s="298"/>
      <c r="I13" s="298"/>
      <c r="J13" s="299"/>
    </row>
    <row r="14" spans="2:11" ht="9" customHeight="1" x14ac:dyDescent="0.3">
      <c r="B14" s="164"/>
      <c r="J14" s="112"/>
    </row>
    <row r="15" spans="2:11" ht="60" customHeight="1" x14ac:dyDescent="0.25">
      <c r="B15" s="163"/>
      <c r="C15" s="174" t="str">
        <f>IF('2_SELECT CONSERVATION MEASURES'!B7="X","X","")</f>
        <v>X</v>
      </c>
      <c r="D15" s="293" t="str">
        <f>'2_SELECT CONSERVATION MEASURES'!C7</f>
        <v>1. Submetering</v>
      </c>
      <c r="E15" s="293"/>
      <c r="F15" s="293"/>
      <c r="G15" s="293" t="str">
        <f>IF('2_SELECT CONSERVATION MEASURES'!B7="X", '2_SELECT CONSERVATION MEASURES'!D7,"NOT PROPOSED")</f>
        <v>Multi-family and mixed-use developments SUBMETER UNITS for leak detection and for occupants ability to manage their own water use</v>
      </c>
      <c r="H15" s="293"/>
      <c r="I15" s="293"/>
      <c r="J15" s="168"/>
      <c r="K15" s="160"/>
    </row>
    <row r="16" spans="2:11" ht="42.75" customHeight="1" x14ac:dyDescent="0.25">
      <c r="B16" s="163"/>
      <c r="C16" s="174" t="str">
        <f>IF('2_SELECT CONSERVATION MEASURES'!B8="X","X","")</f>
        <v>X</v>
      </c>
      <c r="D16" s="293" t="str">
        <f>'2_SELECT CONSERVATION MEASURES'!C8</f>
        <v>2. No outdoor water features</v>
      </c>
      <c r="E16" s="293"/>
      <c r="F16" s="293"/>
      <c r="G16" s="293" t="str">
        <f>IF('2_SELECT CONSERVATION MEASURES'!B8="X", '2_SELECT CONSERVATION MEASURES'!D8,"NOT PROPOSED")</f>
        <v>Decorative water features outdoors can be a source of water use that is not functional</v>
      </c>
      <c r="H16" s="293"/>
      <c r="I16" s="293"/>
      <c r="J16" s="168"/>
      <c r="K16" s="160"/>
    </row>
    <row r="17" spans="2:11" ht="70.5" customHeight="1" x14ac:dyDescent="0.25">
      <c r="B17" s="163"/>
      <c r="C17" s="174" t="str">
        <f>IF('2_SELECT CONSERVATION MEASURES'!B9="X","X","")</f>
        <v>X</v>
      </c>
      <c r="D17" s="293" t="str">
        <f>'2_SELECT CONSERVATION MEASURES'!C9</f>
        <v>3. Indoor water features submetered</v>
      </c>
      <c r="E17" s="293"/>
      <c r="F17" s="293"/>
      <c r="G17" s="293" t="str">
        <f>IF('2_SELECT CONSERVATION MEASURES'!B9="X", '2_SELECT CONSERVATION MEASURES'!D9,"NOT PROPOSED")</f>
        <v>Water features have proven to be a source of leaks.  Submetering that is capable of alerts to the building monitoring system greatly reduce water waste</v>
      </c>
      <c r="H17" s="293"/>
      <c r="I17" s="293"/>
      <c r="J17" s="168"/>
      <c r="K17" s="160"/>
    </row>
    <row r="18" spans="2:11" ht="69.75" customHeight="1" x14ac:dyDescent="0.25">
      <c r="B18" s="163"/>
      <c r="C18" s="174" t="str">
        <f>IF('2_SELECT CONSERVATION MEASURES'!B10="X","X","")</f>
        <v/>
      </c>
      <c r="D18" s="293" t="str">
        <f>'2_SELECT CONSERVATION MEASURES'!C10</f>
        <v>4. Limitation on functional turf grass</v>
      </c>
      <c r="E18" s="293"/>
      <c r="F18" s="293"/>
      <c r="G18" s="293" t="str">
        <f>IF('2_SELECT CONSERVATION MEASURES'!B10="X", '2_SELECT CONSERVATION MEASURES'!D10,"NOT PROPOSED")</f>
        <v>NOT PROPOSED</v>
      </c>
      <c r="H18" s="293"/>
      <c r="I18" s="293"/>
      <c r="J18" s="168"/>
      <c r="K18" s="160"/>
    </row>
    <row r="19" spans="2:11" ht="42" customHeight="1" x14ac:dyDescent="0.25">
      <c r="B19" s="163"/>
      <c r="C19" s="174" t="str">
        <f>IF('2_SELECT CONSERVATION MEASURES'!B11="X","X","")</f>
        <v/>
      </c>
      <c r="D19" s="293" t="str">
        <f>'2_SELECT CONSERVATION MEASURES'!C11</f>
        <v>5. Limitations on artificial turf</v>
      </c>
      <c r="E19" s="293"/>
      <c r="F19" s="293"/>
      <c r="G19" s="293" t="str">
        <f>IF('2_SELECT CONSERVATION MEASURES'!B11="X", '2_SELECT CONSERVATION MEASURES'!D11,"NOT PROPOSED")</f>
        <v>NOT PROPOSED</v>
      </c>
      <c r="H19" s="293"/>
      <c r="I19" s="293"/>
      <c r="J19" s="168"/>
      <c r="K19" s="160"/>
    </row>
    <row r="20" spans="2:11" ht="59.25" customHeight="1" x14ac:dyDescent="0.25">
      <c r="B20" s="163"/>
      <c r="C20" s="174" t="str">
        <f>IF('2_SELECT CONSERVATION MEASURES'!B12="X","X","")</f>
        <v/>
      </c>
      <c r="D20" s="293" t="str">
        <f>'2_SELECT CONSERVATION MEASURES'!C12</f>
        <v>6. Landscaped Rainwater harvesting</v>
      </c>
      <c r="E20" s="293"/>
      <c r="F20" s="293"/>
      <c r="G20" s="293" t="str">
        <f>IF('2_SELECT CONSERVATION MEASURES'!B12="X", '2_SELECT CONSERVATION MEASURES'!D12,"NOT PROPOSED")</f>
        <v>NOT PROPOSED</v>
      </c>
      <c r="H20" s="293"/>
      <c r="I20" s="293"/>
      <c r="J20" s="168"/>
      <c r="K20" s="160"/>
    </row>
    <row r="21" spans="2:11" ht="69.75" customHeight="1" x14ac:dyDescent="0.25">
      <c r="B21" s="163"/>
      <c r="C21" s="174" t="str">
        <f>IF('2_SELECT CONSERVATION MEASURES'!B13="X","X","")</f>
        <v/>
      </c>
      <c r="D21" s="293" t="str">
        <f>'2_SELECT CONSERVATION MEASURES'!C13</f>
        <v xml:space="preserve">7. Cooling tower controllers with monitoring technology </v>
      </c>
      <c r="E21" s="293"/>
      <c r="F21" s="293"/>
      <c r="G21" s="293" t="str">
        <f>IF('2_SELECT CONSERVATION MEASURES'!B13="X", '2_SELECT CONSERVATION MEASURES'!D13,"NOT PROPOSED")</f>
        <v>NOT PROPOSED</v>
      </c>
      <c r="H21" s="293"/>
      <c r="I21" s="293"/>
      <c r="J21" s="168"/>
      <c r="K21" s="160"/>
    </row>
    <row r="22" spans="2:11" ht="77.25" customHeight="1" x14ac:dyDescent="0.25">
      <c r="B22" s="163"/>
      <c r="C22" s="174" t="str">
        <f>IF('2_SELECT CONSERVATION MEASURES'!B14="X","X","")</f>
        <v/>
      </c>
      <c r="D22" s="293" t="str">
        <f>'2_SELECT CONSERVATION MEASURES'!C14</f>
        <v>8. Pools and splashpads submeters with monitoring technology</v>
      </c>
      <c r="E22" s="293"/>
      <c r="F22" s="293"/>
      <c r="G22" s="293" t="str">
        <f>IF('2_SELECT CONSERVATION MEASURES'!B14="X", '2_SELECT CONSERVATION MEASURES'!D14,"NOT PROPOSED")</f>
        <v>NOT PROPOSED</v>
      </c>
      <c r="H22" s="293"/>
      <c r="I22" s="293"/>
      <c r="J22" s="168"/>
      <c r="K22" s="160"/>
    </row>
    <row r="23" spans="2:11" ht="8.25" customHeight="1" x14ac:dyDescent="0.25">
      <c r="B23" s="163"/>
      <c r="J23" s="112"/>
    </row>
    <row r="24" spans="2:11" ht="45" customHeight="1" x14ac:dyDescent="0.25">
      <c r="B24" s="294" t="s">
        <v>138</v>
      </c>
      <c r="C24" s="295"/>
      <c r="D24" s="295"/>
      <c r="E24" s="295"/>
      <c r="F24" s="295"/>
      <c r="G24" s="295"/>
      <c r="H24" s="295"/>
      <c r="I24" s="295"/>
      <c r="J24" s="296"/>
    </row>
    <row r="25" spans="2:11" ht="6.75" customHeight="1" thickBot="1" x14ac:dyDescent="0.3">
      <c r="B25" s="163"/>
      <c r="J25" s="112"/>
    </row>
    <row r="26" spans="2:11" ht="24" customHeight="1" thickTop="1" thickBot="1" x14ac:dyDescent="0.35">
      <c r="B26" s="163"/>
      <c r="C26" s="3" t="s">
        <v>134</v>
      </c>
      <c r="H26" s="219"/>
      <c r="I26" s="3" t="s">
        <v>136</v>
      </c>
      <c r="J26" s="112"/>
    </row>
    <row r="27" spans="2:11" ht="6" customHeight="1" thickTop="1" thickBot="1" x14ac:dyDescent="0.35">
      <c r="B27" s="163"/>
      <c r="G27" s="3"/>
      <c r="J27" s="112"/>
    </row>
    <row r="28" spans="2:11" ht="24" customHeight="1" thickTop="1" thickBot="1" x14ac:dyDescent="0.35">
      <c r="B28" s="163"/>
      <c r="C28" s="9" t="s">
        <v>137</v>
      </c>
      <c r="D28" s="7"/>
      <c r="E28" s="7"/>
      <c r="H28" s="219"/>
      <c r="I28" s="3" t="s">
        <v>136</v>
      </c>
      <c r="J28" s="112"/>
    </row>
    <row r="29" spans="2:11" ht="10.5" customHeight="1" thickTop="1" x14ac:dyDescent="0.25">
      <c r="B29" s="163"/>
      <c r="J29" s="112"/>
    </row>
    <row r="30" spans="2:11" ht="15.75" thickBot="1" x14ac:dyDescent="0.3">
      <c r="B30" s="125"/>
      <c r="C30" s="126"/>
      <c r="D30" s="126"/>
      <c r="E30" s="126"/>
      <c r="F30" s="126"/>
      <c r="G30" s="126"/>
      <c r="H30" s="127" t="s">
        <v>102</v>
      </c>
      <c r="I30" s="218">
        <f ca="1">TODAY()</f>
        <v>45056</v>
      </c>
      <c r="J30" s="175"/>
    </row>
    <row r="31" spans="2:11" ht="15.75" thickTop="1" x14ac:dyDescent="0.25"/>
  </sheetData>
  <sheetProtection algorithmName="SHA-512" hashValue="0jUpZ6ja0QdAGSdAXu3Q2oH1llo6ZUxnOZDny9UqAgXgNVtE9uRz5+0/NzVYFDUVj/YTtLiL/6d+sdctZF67wg==" saltValue="4GyqtV9ViJCzNUDi9rUxCQ==" spinCount="100000" sheet="1" objects="1" scenarios="1" selectLockedCells="1" selectUnlockedCells="1"/>
  <mergeCells count="22">
    <mergeCell ref="D20:F20"/>
    <mergeCell ref="D15:F15"/>
    <mergeCell ref="D16:F16"/>
    <mergeCell ref="D17:F17"/>
    <mergeCell ref="D18:F18"/>
    <mergeCell ref="D19:F19"/>
    <mergeCell ref="B2:J2"/>
    <mergeCell ref="D21:F21"/>
    <mergeCell ref="D22:F22"/>
    <mergeCell ref="B3:J3"/>
    <mergeCell ref="B24:J24"/>
    <mergeCell ref="B13:J13"/>
    <mergeCell ref="G21:I21"/>
    <mergeCell ref="G22:I22"/>
    <mergeCell ref="B5:J5"/>
    <mergeCell ref="B9:J9"/>
    <mergeCell ref="G15:I15"/>
    <mergeCell ref="G16:I16"/>
    <mergeCell ref="G17:I17"/>
    <mergeCell ref="G18:I18"/>
    <mergeCell ref="G19:I19"/>
    <mergeCell ref="G20:I20"/>
  </mergeCells>
  <conditionalFormatting sqref="C15:C22">
    <cfRule type="containsText" dxfId="0" priority="1" operator="containsText" text="X">
      <formula>NOT(ISERROR(SEARCH("X",C15)))</formula>
    </cfRule>
  </conditionalFormatting>
  <printOptions horizontalCentered="1" verticalCentered="1"/>
  <pageMargins left="0.5" right="0.25" top="0.25" bottom="0.2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6623D-E0D1-4388-AA91-62850D21EA5F}">
  <sheetPr>
    <tabColor rgb="FF00B0F0"/>
    <pageSetUpPr fitToPage="1"/>
  </sheetPr>
  <dimension ref="B1:M19"/>
  <sheetViews>
    <sheetView zoomScale="70" zoomScaleNormal="70" zoomScaleSheetLayoutView="55" workbookViewId="0">
      <selection activeCell="E11" sqref="E11"/>
    </sheetView>
  </sheetViews>
  <sheetFormatPr defaultRowHeight="15" x14ac:dyDescent="0.25"/>
  <cols>
    <col min="1" max="1" width="4.5703125" customWidth="1"/>
    <col min="2" max="2" width="38.7109375" customWidth="1"/>
    <col min="3" max="3" width="13" customWidth="1"/>
    <col min="4" max="4" width="9.28515625" customWidth="1"/>
    <col min="5" max="5" width="19.85546875" customWidth="1"/>
    <col min="6" max="6" width="16.42578125" customWidth="1"/>
    <col min="7" max="7" width="3" customWidth="1"/>
    <col min="9" max="9" width="15.28515625" bestFit="1" customWidth="1"/>
    <col min="13" max="13" width="9.28515625" customWidth="1"/>
    <col min="14" max="14" width="3.85546875" customWidth="1"/>
  </cols>
  <sheetData>
    <row r="1" spans="2:13" ht="56.25" customHeight="1" thickBot="1" x14ac:dyDescent="0.3"/>
    <row r="2" spans="2:13" ht="34.5" customHeight="1" thickTop="1" thickBot="1" x14ac:dyDescent="0.3">
      <c r="B2" s="278" t="s">
        <v>131</v>
      </c>
      <c r="C2" s="311"/>
      <c r="D2" s="311"/>
      <c r="E2" s="311"/>
      <c r="F2" s="311"/>
      <c r="G2" s="311"/>
      <c r="H2" s="311"/>
      <c r="I2" s="311"/>
      <c r="J2" s="311"/>
      <c r="K2" s="311"/>
      <c r="L2" s="311"/>
      <c r="M2" s="312"/>
    </row>
    <row r="3" spans="2:13" ht="31.5" customHeight="1" thickBot="1" x14ac:dyDescent="0.3">
      <c r="B3" s="313" t="str">
        <f>IF(OR('1_ENTER WATER USE INPUTS'!$B$5="ENTER DEVELOPMENT NAME &amp; CITY REVIEW CASE NUMBER HERE",'1_ENTER WATER USE INPUTS'!$B$5=""),"FILL IN DEVELOPMENT NAME AND CITY CASE NUMBER ON TAB 1",'1_ENTER WATER USE INPUTS'!$B$5)</f>
        <v>FILL IN DEVELOPMENT NAME AND CITY CASE NUMBER ON TAB 1</v>
      </c>
      <c r="C3" s="314"/>
      <c r="D3" s="314"/>
      <c r="E3" s="314"/>
      <c r="F3" s="314"/>
      <c r="G3" s="314"/>
      <c r="H3" s="314"/>
      <c r="I3" s="314"/>
      <c r="J3" s="314"/>
      <c r="K3" s="314"/>
      <c r="L3" s="314"/>
      <c r="M3" s="315"/>
    </row>
    <row r="4" spans="2:13" ht="60.75" customHeight="1" thickBot="1" x14ac:dyDescent="0.3">
      <c r="B4" s="305" t="s">
        <v>124</v>
      </c>
      <c r="C4" s="306"/>
      <c r="D4" s="306"/>
      <c r="E4" s="306"/>
      <c r="F4" s="307"/>
      <c r="M4" s="112"/>
    </row>
    <row r="5" spans="2:13" ht="38.25" thickBot="1" x14ac:dyDescent="0.3">
      <c r="B5" s="176" t="s">
        <v>54</v>
      </c>
      <c r="C5" s="177" t="s">
        <v>46</v>
      </c>
      <c r="D5" s="177" t="s">
        <v>1</v>
      </c>
      <c r="E5" s="177" t="s">
        <v>48</v>
      </c>
      <c r="F5" s="178" t="s">
        <v>72</v>
      </c>
      <c r="M5" s="112"/>
    </row>
    <row r="6" spans="2:13" ht="18" customHeight="1" thickBot="1" x14ac:dyDescent="0.3">
      <c r="B6" s="113" t="s">
        <v>49</v>
      </c>
      <c r="C6" s="81">
        <f>'5_USE DETAILED TABLE'!C40</f>
        <v>27045.166340508804</v>
      </c>
      <c r="D6" s="80" t="s">
        <v>2</v>
      </c>
      <c r="E6" s="82">
        <f>C6/$C$6</f>
        <v>1</v>
      </c>
      <c r="F6" s="302" t="s">
        <v>73</v>
      </c>
      <c r="M6" s="112"/>
    </row>
    <row r="7" spans="2:13" ht="18" customHeight="1" thickTop="1" thickBot="1" x14ac:dyDescent="0.3">
      <c r="B7" s="114" t="s">
        <v>50</v>
      </c>
      <c r="C7" s="41">
        <f>'5_USE DETAILED TABLE'!E40</f>
        <v>4229.4520547945203</v>
      </c>
      <c r="D7" s="4" t="s">
        <v>2</v>
      </c>
      <c r="E7" s="46">
        <f t="shared" ref="E7:E10" si="0">C7/$C$6</f>
        <v>0.15638476767138831</v>
      </c>
      <c r="F7" s="303"/>
      <c r="M7" s="112"/>
    </row>
    <row r="8" spans="2:13" ht="18" customHeight="1" thickBot="1" x14ac:dyDescent="0.3">
      <c r="B8" s="115" t="s">
        <v>51</v>
      </c>
      <c r="C8" s="43">
        <f>'5_USE DETAILED TABLE'!H40</f>
        <v>22815.714285714286</v>
      </c>
      <c r="D8" s="42" t="s">
        <v>2</v>
      </c>
      <c r="E8" s="47">
        <f t="shared" si="0"/>
        <v>0.8436152323286118</v>
      </c>
      <c r="F8" s="303"/>
      <c r="M8" s="112"/>
    </row>
    <row r="9" spans="2:13" ht="18" customHeight="1" thickTop="1" thickBot="1" x14ac:dyDescent="0.3">
      <c r="B9" s="114" t="s">
        <v>52</v>
      </c>
      <c r="C9" s="41">
        <f>'5_USE DETAILED TABLE'!K40</f>
        <v>2603</v>
      </c>
      <c r="D9" s="4" t="s">
        <v>2</v>
      </c>
      <c r="E9" s="46">
        <f t="shared" si="0"/>
        <v>9.6246403783480275E-2</v>
      </c>
      <c r="F9" s="303"/>
      <c r="M9" s="112"/>
    </row>
    <row r="10" spans="2:13" ht="18" customHeight="1" thickBot="1" x14ac:dyDescent="0.3">
      <c r="B10" s="116" t="s">
        <v>53</v>
      </c>
      <c r="C10" s="40">
        <f>'5_USE DETAILED TABLE'!N40</f>
        <v>20212.714285714286</v>
      </c>
      <c r="D10" s="1" t="s">
        <v>2</v>
      </c>
      <c r="E10" s="48">
        <f t="shared" si="0"/>
        <v>0.74736882854513154</v>
      </c>
      <c r="F10" s="303"/>
      <c r="M10" s="112"/>
    </row>
    <row r="11" spans="2:13" ht="18" customHeight="1" thickBot="1" x14ac:dyDescent="0.3">
      <c r="B11" s="117" t="s">
        <v>67</v>
      </c>
      <c r="C11" s="44">
        <f>C7+C9</f>
        <v>6832.4520547945203</v>
      </c>
      <c r="D11" s="45" t="s">
        <v>2</v>
      </c>
      <c r="E11" s="49">
        <f t="shared" ref="E11" si="1">C11/$C$6</f>
        <v>0.25263117145486857</v>
      </c>
      <c r="F11" s="304"/>
      <c r="M11" s="112"/>
    </row>
    <row r="12" spans="2:13" ht="96.75" customHeight="1" thickBot="1" x14ac:dyDescent="0.3">
      <c r="B12" s="308" t="s">
        <v>88</v>
      </c>
      <c r="C12" s="309"/>
      <c r="D12" s="309"/>
      <c r="E12" s="309"/>
      <c r="F12" s="310"/>
      <c r="M12" s="112"/>
    </row>
    <row r="13" spans="2:13" ht="18" customHeight="1" thickBot="1" x14ac:dyDescent="0.3">
      <c r="B13" s="118"/>
      <c r="C13" s="119"/>
      <c r="D13" s="119"/>
      <c r="E13" s="119"/>
      <c r="F13" s="119"/>
      <c r="G13" s="119"/>
      <c r="H13" s="119"/>
      <c r="I13" s="119"/>
      <c r="J13" s="119"/>
      <c r="K13" s="120" t="s">
        <v>102</v>
      </c>
      <c r="L13" s="300">
        <f ca="1">TODAY()</f>
        <v>45056</v>
      </c>
      <c r="M13" s="301"/>
    </row>
    <row r="14" spans="2:13" ht="18" customHeight="1" thickTop="1" x14ac:dyDescent="0.25"/>
    <row r="15" spans="2:13" ht="18" customHeight="1" x14ac:dyDescent="0.25"/>
    <row r="16" spans="2:13" ht="18" customHeight="1" x14ac:dyDescent="0.25"/>
    <row r="17" ht="18" customHeight="1" x14ac:dyDescent="0.25"/>
    <row r="18" ht="18" customHeight="1" x14ac:dyDescent="0.25"/>
    <row r="19" ht="18" customHeight="1" x14ac:dyDescent="0.25"/>
  </sheetData>
  <sheetProtection algorithmName="SHA-512" hashValue="r3n03SVQm+kZnSVDemZH0JgtOiPRiQwmQOvaw4XESh5kN3lXyO8SsdnFuwoWfzug+6Pn+3FwZq5gDx7M8VdczQ==" saltValue="Dub2DOvlhODWPjtP+eX8jg==" spinCount="100000" sheet="1" scenarios="1" selectLockedCells="1" selectUnlockedCells="1"/>
  <mergeCells count="6">
    <mergeCell ref="L13:M13"/>
    <mergeCell ref="F6:F11"/>
    <mergeCell ref="B4:F4"/>
    <mergeCell ref="B12:F12"/>
    <mergeCell ref="B2:M2"/>
    <mergeCell ref="B3:M3"/>
  </mergeCells>
  <phoneticPr fontId="8" type="noConversion"/>
  <pageMargins left="0.25" right="0.25" top="0.25" bottom="0.25" header="0.3" footer="0.3"/>
  <pageSetup scale="7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5331-1F4F-4251-A8CE-32A2CD086E22}">
  <sheetPr>
    <tabColor rgb="FF00B0F0"/>
    <pageSetUpPr fitToPage="1"/>
  </sheetPr>
  <dimension ref="B1:Z46"/>
  <sheetViews>
    <sheetView zoomScale="55" zoomScaleNormal="55" zoomScaleSheetLayoutView="55" workbookViewId="0">
      <selection activeCell="AB9" sqref="AB9"/>
    </sheetView>
  </sheetViews>
  <sheetFormatPr defaultRowHeight="15" x14ac:dyDescent="0.25"/>
  <cols>
    <col min="1" max="1" width="4.7109375" customWidth="1"/>
    <col min="2" max="2" width="37.5703125" customWidth="1"/>
    <col min="3" max="15" width="20.7109375" customWidth="1"/>
    <col min="16" max="17" width="20.7109375" hidden="1" customWidth="1"/>
    <col min="18" max="19" width="20.42578125" hidden="1" customWidth="1"/>
    <col min="20" max="20" width="7.85546875" hidden="1" customWidth="1"/>
    <col min="21" max="21" width="21.28515625" hidden="1" customWidth="1"/>
    <col min="22" max="22" width="17.7109375" hidden="1" customWidth="1"/>
    <col min="23" max="23" width="20.7109375" hidden="1" customWidth="1"/>
    <col min="24" max="24" width="5.28515625" customWidth="1"/>
    <col min="25" max="25" width="20.85546875" customWidth="1"/>
    <col min="26" max="26" width="9.140625" customWidth="1"/>
  </cols>
  <sheetData>
    <row r="1" spans="2:26" ht="17.25" customHeight="1" thickBot="1" x14ac:dyDescent="0.3">
      <c r="B1" s="9"/>
      <c r="D1" s="7"/>
      <c r="E1" s="7"/>
      <c r="F1" s="7"/>
      <c r="G1" s="6"/>
      <c r="H1" s="7"/>
      <c r="I1" s="7"/>
    </row>
    <row r="2" spans="2:26" ht="43.5" customHeight="1" thickTop="1" thickBot="1" x14ac:dyDescent="0.3">
      <c r="B2" s="278" t="s">
        <v>130</v>
      </c>
      <c r="C2" s="316"/>
      <c r="D2" s="316"/>
      <c r="E2" s="316"/>
      <c r="F2" s="316"/>
      <c r="G2" s="316"/>
      <c r="H2" s="316"/>
      <c r="I2" s="316"/>
      <c r="J2" s="316"/>
      <c r="K2" s="316"/>
      <c r="L2" s="316"/>
      <c r="M2" s="316"/>
      <c r="N2" s="316"/>
      <c r="O2" s="317"/>
    </row>
    <row r="3" spans="2:26" ht="51" customHeight="1" thickBot="1" x14ac:dyDescent="0.3">
      <c r="B3" s="313" t="str">
        <f>IF(OR('1_ENTER WATER USE INPUTS'!$B$5="ENTER DEVELOPMENT NAME &amp; CITY REVIEW CASE NUMBER HERE",'1_ENTER WATER USE INPUTS'!$B$5=""),"FILL IN DEVELOPMENT NAME AND CITY CASE NUMBER ON TAB 1",'1_ENTER WATER USE INPUTS'!$B$5)</f>
        <v>FILL IN DEVELOPMENT NAME AND CITY CASE NUMBER ON TAB 1</v>
      </c>
      <c r="C3" s="314"/>
      <c r="D3" s="314"/>
      <c r="E3" s="314"/>
      <c r="F3" s="314"/>
      <c r="G3" s="314"/>
      <c r="H3" s="314"/>
      <c r="I3" s="314"/>
      <c r="J3" s="314"/>
      <c r="K3" s="314"/>
      <c r="L3" s="314"/>
      <c r="M3" s="314"/>
      <c r="N3" s="314"/>
      <c r="O3" s="315"/>
    </row>
    <row r="4" spans="2:26" ht="55.5" customHeight="1" thickBot="1" x14ac:dyDescent="0.3">
      <c r="B4" s="83" t="s">
        <v>38</v>
      </c>
      <c r="C4" s="323" t="s">
        <v>74</v>
      </c>
      <c r="D4" s="325" t="s">
        <v>86</v>
      </c>
      <c r="E4" s="326"/>
      <c r="F4" s="327"/>
      <c r="G4" s="326" t="s">
        <v>75</v>
      </c>
      <c r="H4" s="326"/>
      <c r="I4" s="327"/>
      <c r="J4" s="325" t="s">
        <v>76</v>
      </c>
      <c r="K4" s="326"/>
      <c r="L4" s="326"/>
      <c r="M4" s="325" t="s">
        <v>79</v>
      </c>
      <c r="N4" s="326"/>
      <c r="O4" s="327"/>
      <c r="P4" s="62"/>
      <c r="Q4" s="62"/>
    </row>
    <row r="5" spans="2:26" ht="94.5" customHeight="1" thickBot="1" x14ac:dyDescent="0.3">
      <c r="B5" s="26" t="s">
        <v>37</v>
      </c>
      <c r="C5" s="324"/>
      <c r="D5" s="179" t="s">
        <v>140</v>
      </c>
      <c r="E5" s="180" t="s">
        <v>9</v>
      </c>
      <c r="F5" s="181" t="s">
        <v>10</v>
      </c>
      <c r="G5" s="182" t="s">
        <v>141</v>
      </c>
      <c r="H5" s="183" t="s">
        <v>142</v>
      </c>
      <c r="I5" s="184" t="s">
        <v>143</v>
      </c>
      <c r="J5" s="185" t="s">
        <v>144</v>
      </c>
      <c r="K5" s="186" t="s">
        <v>145</v>
      </c>
      <c r="L5" s="187" t="s">
        <v>146</v>
      </c>
      <c r="M5" s="157" t="s">
        <v>77</v>
      </c>
      <c r="N5" s="178" t="s">
        <v>78</v>
      </c>
      <c r="O5" s="188" t="s">
        <v>68</v>
      </c>
      <c r="P5" s="52" t="s">
        <v>61</v>
      </c>
      <c r="Q5" s="52" t="s">
        <v>62</v>
      </c>
      <c r="R5" s="60" t="s">
        <v>60</v>
      </c>
      <c r="S5" s="60" t="s">
        <v>63</v>
      </c>
      <c r="U5" s="57" t="s">
        <v>35</v>
      </c>
      <c r="V5" s="57" t="s">
        <v>58</v>
      </c>
      <c r="W5" s="57" t="s">
        <v>8</v>
      </c>
    </row>
    <row r="6" spans="2:26" ht="18" customHeight="1" thickBot="1" x14ac:dyDescent="0.35">
      <c r="B6" s="189" t="str">
        <f>'1_ENTER WATER USE INPUTS'!B8</f>
        <v>Category: Residential/ Commerical Residential/ Hotel</v>
      </c>
      <c r="C6" s="146"/>
      <c r="D6" s="190"/>
      <c r="E6" s="191"/>
      <c r="F6" s="192"/>
      <c r="G6" s="191"/>
      <c r="H6" s="191"/>
      <c r="I6" s="192"/>
      <c r="J6" s="193"/>
      <c r="K6" s="191"/>
      <c r="L6" s="191"/>
      <c r="M6" s="194"/>
      <c r="N6" s="195"/>
      <c r="O6" s="192"/>
      <c r="P6" s="53"/>
      <c r="Q6" s="53"/>
    </row>
    <row r="7" spans="2:26" ht="18" customHeight="1" thickBot="1" x14ac:dyDescent="0.3">
      <c r="B7" s="27" t="s">
        <v>32</v>
      </c>
      <c r="C7" s="72">
        <f>'1_ENTER WATER USE INPUTS'!F9</f>
        <v>0</v>
      </c>
      <c r="D7" s="19">
        <v>276.7</v>
      </c>
      <c r="E7" s="8">
        <f>'1_ENTER WATER USE INPUTS'!D9*D7</f>
        <v>0</v>
      </c>
      <c r="F7" s="20">
        <f t="shared" ref="F7:F13" si="0">E7/$C$40</f>
        <v>0</v>
      </c>
      <c r="G7" s="70">
        <v>208.9</v>
      </c>
      <c r="H7" s="11">
        <f>G7*'1_ENTER WATER USE INPUTS'!D9</f>
        <v>0</v>
      </c>
      <c r="I7" s="20">
        <f>H7/$C$40</f>
        <v>0</v>
      </c>
      <c r="J7" s="24">
        <f>G7*R7</f>
        <v>20.89</v>
      </c>
      <c r="K7" s="11">
        <f>'1_ENTER WATER USE INPUTS'!D9*J7</f>
        <v>0</v>
      </c>
      <c r="L7" s="71">
        <f>K7/$C$40</f>
        <v>0</v>
      </c>
      <c r="M7" s="35">
        <f>G7-J7</f>
        <v>188.01</v>
      </c>
      <c r="N7" s="8">
        <f>'1_ENTER WATER USE INPUTS'!D9*M7</f>
        <v>0</v>
      </c>
      <c r="O7" s="20">
        <f>N7/$C$40</f>
        <v>0</v>
      </c>
      <c r="P7" s="56">
        <v>250</v>
      </c>
      <c r="Q7" s="58">
        <f>M7/P7</f>
        <v>0.75203999999999993</v>
      </c>
      <c r="R7" s="59">
        <v>0.1</v>
      </c>
      <c r="S7" s="59"/>
      <c r="U7" s="17">
        <f>1-R7</f>
        <v>0.9</v>
      </c>
      <c r="V7" s="17">
        <f t="shared" ref="V7:V13" si="1">M7/(D7+G7)</f>
        <v>0.38717051070840192</v>
      </c>
      <c r="W7" s="16" t="e">
        <f t="shared" ref="W7:W13" si="2">E7/C7</f>
        <v>#DIV/0!</v>
      </c>
      <c r="Z7" s="16"/>
    </row>
    <row r="8" spans="2:26" ht="18" customHeight="1" thickBot="1" x14ac:dyDescent="0.3">
      <c r="B8" s="28" t="s">
        <v>12</v>
      </c>
      <c r="C8" s="72">
        <f>'1_ENTER WATER USE INPUTS'!F10</f>
        <v>0</v>
      </c>
      <c r="D8" s="21">
        <v>276.7</v>
      </c>
      <c r="E8" s="8">
        <f>'1_ENTER WATER USE INPUTS'!D10*D8</f>
        <v>0</v>
      </c>
      <c r="F8" s="20">
        <f t="shared" si="0"/>
        <v>0</v>
      </c>
      <c r="G8" s="73">
        <v>193.7</v>
      </c>
      <c r="H8" s="11">
        <f>G8*'1_ENTER WATER USE INPUTS'!D10</f>
        <v>0</v>
      </c>
      <c r="I8" s="20">
        <f t="shared" ref="I8:I38" si="3">H8/$C$40</f>
        <v>0</v>
      </c>
      <c r="J8" s="24">
        <f t="shared" ref="J8:J13" si="4">G8*R8</f>
        <v>19.37</v>
      </c>
      <c r="K8" s="11">
        <f>'1_ENTER WATER USE INPUTS'!D10*J8</f>
        <v>0</v>
      </c>
      <c r="L8" s="71">
        <f t="shared" ref="L8:L21" si="5">K8/$C$40</f>
        <v>0</v>
      </c>
      <c r="M8" s="35">
        <f t="shared" ref="M8:M13" si="6">G8-J8</f>
        <v>174.32999999999998</v>
      </c>
      <c r="N8" s="8">
        <f>'1_ENTER WATER USE INPUTS'!D10*M8</f>
        <v>0</v>
      </c>
      <c r="O8" s="20">
        <f t="shared" ref="O8:O38" si="7">N8/$C$40</f>
        <v>0</v>
      </c>
      <c r="P8" s="51" t="s">
        <v>59</v>
      </c>
      <c r="Q8" s="58" t="e">
        <f t="shared" ref="Q8:Q21" si="8">M8/P8</f>
        <v>#VALUE!</v>
      </c>
      <c r="R8" s="59">
        <v>0.1</v>
      </c>
      <c r="S8" s="59"/>
      <c r="U8" s="17">
        <f t="shared" ref="U8:U21" si="9">1-R8</f>
        <v>0.9</v>
      </c>
      <c r="V8" s="17">
        <f t="shared" si="1"/>
        <v>0.37059948979591834</v>
      </c>
      <c r="W8" s="16" t="e">
        <f t="shared" si="2"/>
        <v>#DIV/0!</v>
      </c>
      <c r="Z8" s="16"/>
    </row>
    <row r="9" spans="2:26" ht="18" customHeight="1" thickBot="1" x14ac:dyDescent="0.3">
      <c r="B9" s="28" t="s">
        <v>13</v>
      </c>
      <c r="C9" s="72">
        <f>'1_ENTER WATER USE INPUTS'!F11</f>
        <v>0</v>
      </c>
      <c r="D9" s="21">
        <v>72.3</v>
      </c>
      <c r="E9" s="8">
        <f>'1_ENTER WATER USE INPUTS'!D11*D9</f>
        <v>0</v>
      </c>
      <c r="F9" s="20">
        <f t="shared" si="0"/>
        <v>0</v>
      </c>
      <c r="G9" s="73">
        <v>175.9</v>
      </c>
      <c r="H9" s="11">
        <f>G9*'1_ENTER WATER USE INPUTS'!D11</f>
        <v>0</v>
      </c>
      <c r="I9" s="20">
        <f t="shared" si="3"/>
        <v>0</v>
      </c>
      <c r="J9" s="24">
        <f t="shared" si="4"/>
        <v>17.59</v>
      </c>
      <c r="K9" s="11">
        <f>'1_ENTER WATER USE INPUTS'!D11*J9</f>
        <v>0</v>
      </c>
      <c r="L9" s="71">
        <f t="shared" si="5"/>
        <v>0</v>
      </c>
      <c r="M9" s="35">
        <f t="shared" si="6"/>
        <v>158.31</v>
      </c>
      <c r="N9" s="8">
        <f>'1_ENTER WATER USE INPUTS'!D11*M9</f>
        <v>0</v>
      </c>
      <c r="O9" s="20">
        <f t="shared" si="7"/>
        <v>0</v>
      </c>
      <c r="P9" s="51" t="s">
        <v>59</v>
      </c>
      <c r="Q9" s="58" t="e">
        <f t="shared" si="8"/>
        <v>#VALUE!</v>
      </c>
      <c r="R9" s="59">
        <v>0.1</v>
      </c>
      <c r="S9" s="59"/>
      <c r="U9" s="17">
        <f t="shared" si="9"/>
        <v>0.9</v>
      </c>
      <c r="V9" s="17">
        <f t="shared" si="1"/>
        <v>0.63783239323126517</v>
      </c>
      <c r="W9" s="16" t="e">
        <f t="shared" si="2"/>
        <v>#DIV/0!</v>
      </c>
      <c r="Z9" s="16"/>
    </row>
    <row r="10" spans="2:26" ht="18" customHeight="1" thickBot="1" x14ac:dyDescent="0.3">
      <c r="B10" s="28" t="s">
        <v>14</v>
      </c>
      <c r="C10" s="72">
        <f>'1_ENTER WATER USE INPUTS'!F12</f>
        <v>0</v>
      </c>
      <c r="D10" s="21">
        <v>72.3</v>
      </c>
      <c r="E10" s="8">
        <f>'1_ENTER WATER USE INPUTS'!D12*D10</f>
        <v>0</v>
      </c>
      <c r="F10" s="20">
        <f t="shared" si="0"/>
        <v>0</v>
      </c>
      <c r="G10" s="73">
        <v>155.30000000000001</v>
      </c>
      <c r="H10" s="11">
        <f>G10*'1_ENTER WATER USE INPUTS'!D12</f>
        <v>0</v>
      </c>
      <c r="I10" s="20">
        <f t="shared" si="3"/>
        <v>0</v>
      </c>
      <c r="J10" s="24">
        <f t="shared" si="4"/>
        <v>15.530000000000001</v>
      </c>
      <c r="K10" s="11">
        <f>'1_ENTER WATER USE INPUTS'!D12*J10</f>
        <v>0</v>
      </c>
      <c r="L10" s="71">
        <f t="shared" si="5"/>
        <v>0</v>
      </c>
      <c r="M10" s="35">
        <f t="shared" si="6"/>
        <v>139.77000000000001</v>
      </c>
      <c r="N10" s="8">
        <f>'1_ENTER WATER USE INPUTS'!D12*M10</f>
        <v>0</v>
      </c>
      <c r="O10" s="20">
        <f t="shared" si="7"/>
        <v>0</v>
      </c>
      <c r="P10" s="51" t="s">
        <v>59</v>
      </c>
      <c r="Q10" s="58" t="e">
        <f t="shared" si="8"/>
        <v>#VALUE!</v>
      </c>
      <c r="R10" s="59">
        <v>0.1</v>
      </c>
      <c r="S10" s="59"/>
      <c r="U10" s="17">
        <f t="shared" si="9"/>
        <v>0.9</v>
      </c>
      <c r="V10" s="17">
        <f t="shared" si="1"/>
        <v>0.61410369068541304</v>
      </c>
      <c r="W10" s="16" t="e">
        <f t="shared" si="2"/>
        <v>#DIV/0!</v>
      </c>
      <c r="Z10" s="16"/>
    </row>
    <row r="11" spans="2:26" ht="18" customHeight="1" thickBot="1" x14ac:dyDescent="0.3">
      <c r="B11" s="28" t="s">
        <v>15</v>
      </c>
      <c r="C11" s="72">
        <f>'1_ENTER WATER USE INPUTS'!F13</f>
        <v>0</v>
      </c>
      <c r="D11" s="21">
        <v>72.3</v>
      </c>
      <c r="E11" s="8">
        <f>'1_ENTER WATER USE INPUTS'!D13*D11</f>
        <v>0</v>
      </c>
      <c r="F11" s="20">
        <f t="shared" si="0"/>
        <v>0</v>
      </c>
      <c r="G11" s="73">
        <v>155.30000000000001</v>
      </c>
      <c r="H11" s="11">
        <f>G11*'1_ENTER WATER USE INPUTS'!D13</f>
        <v>0</v>
      </c>
      <c r="I11" s="20">
        <f t="shared" si="3"/>
        <v>0</v>
      </c>
      <c r="J11" s="24">
        <f t="shared" si="4"/>
        <v>15.530000000000001</v>
      </c>
      <c r="K11" s="11">
        <f>'1_ENTER WATER USE INPUTS'!D13*J11</f>
        <v>0</v>
      </c>
      <c r="L11" s="71">
        <f t="shared" si="5"/>
        <v>0</v>
      </c>
      <c r="M11" s="35">
        <f t="shared" si="6"/>
        <v>139.77000000000001</v>
      </c>
      <c r="N11" s="8">
        <f>'1_ENTER WATER USE INPUTS'!D13*M11</f>
        <v>0</v>
      </c>
      <c r="O11" s="20">
        <f t="shared" si="7"/>
        <v>0</v>
      </c>
      <c r="P11" s="51" t="s">
        <v>59</v>
      </c>
      <c r="Q11" s="58" t="e">
        <f t="shared" si="8"/>
        <v>#VALUE!</v>
      </c>
      <c r="R11" s="59">
        <v>0.1</v>
      </c>
      <c r="S11" s="59"/>
      <c r="U11" s="17">
        <f t="shared" si="9"/>
        <v>0.9</v>
      </c>
      <c r="V11" s="17">
        <f t="shared" si="1"/>
        <v>0.61410369068541304</v>
      </c>
      <c r="W11" s="16" t="e">
        <f t="shared" si="2"/>
        <v>#DIV/0!</v>
      </c>
      <c r="Z11" s="16"/>
    </row>
    <row r="12" spans="2:26" ht="18" customHeight="1" thickBot="1" x14ac:dyDescent="0.3">
      <c r="B12" s="28" t="s">
        <v>16</v>
      </c>
      <c r="C12" s="72">
        <f>'1_ENTER WATER USE INPUTS'!F14</f>
        <v>18530</v>
      </c>
      <c r="D12" s="21">
        <v>30</v>
      </c>
      <c r="E12" s="8">
        <f>'1_ENTER WATER USE INPUTS'!D14*D12</f>
        <v>3000</v>
      </c>
      <c r="F12" s="20">
        <f t="shared" si="0"/>
        <v>0.11092555180577827</v>
      </c>
      <c r="G12" s="73">
        <v>155.30000000000001</v>
      </c>
      <c r="H12" s="11">
        <f>G12*'1_ENTER WATER USE INPUTS'!D14</f>
        <v>15530.000000000002</v>
      </c>
      <c r="I12" s="20">
        <f t="shared" si="3"/>
        <v>0.57422460651457885</v>
      </c>
      <c r="J12" s="24">
        <f t="shared" si="4"/>
        <v>15.530000000000001</v>
      </c>
      <c r="K12" s="11">
        <f>'1_ENTER WATER USE INPUTS'!D14*J12</f>
        <v>1553</v>
      </c>
      <c r="L12" s="71">
        <f t="shared" si="5"/>
        <v>5.7422460651457882E-2</v>
      </c>
      <c r="M12" s="35">
        <f t="shared" si="6"/>
        <v>139.77000000000001</v>
      </c>
      <c r="N12" s="8">
        <f>'1_ENTER WATER USE INPUTS'!D14*M12</f>
        <v>13977.000000000002</v>
      </c>
      <c r="O12" s="20">
        <f t="shared" si="7"/>
        <v>0.51680214586312101</v>
      </c>
      <c r="P12" s="51">
        <v>140</v>
      </c>
      <c r="Q12" s="58">
        <f t="shared" si="8"/>
        <v>0.99835714285714294</v>
      </c>
      <c r="R12" s="59">
        <v>0.1</v>
      </c>
      <c r="S12" s="59"/>
      <c r="U12" s="17">
        <f t="shared" si="9"/>
        <v>0.9</v>
      </c>
      <c r="V12" s="17">
        <f t="shared" si="1"/>
        <v>0.75429033998920669</v>
      </c>
      <c r="W12" s="16">
        <f t="shared" si="2"/>
        <v>0.16189962223421478</v>
      </c>
      <c r="Z12" s="16"/>
    </row>
    <row r="13" spans="2:26" ht="18" customHeight="1" thickBot="1" x14ac:dyDescent="0.3">
      <c r="B13" s="29" t="s">
        <v>11</v>
      </c>
      <c r="C13" s="72">
        <f>'1_ENTER WATER USE INPUTS'!F15</f>
        <v>0</v>
      </c>
      <c r="D13" s="21">
        <v>44.6</v>
      </c>
      <c r="E13" s="8">
        <f>'1_ENTER WATER USE INPUTS'!D15*D13</f>
        <v>0</v>
      </c>
      <c r="F13" s="20">
        <f t="shared" si="0"/>
        <v>0</v>
      </c>
      <c r="G13" s="73">
        <v>401.7</v>
      </c>
      <c r="H13" s="11">
        <f>G13*'1_ENTER WATER USE INPUTS'!D15</f>
        <v>0</v>
      </c>
      <c r="I13" s="20">
        <f t="shared" si="3"/>
        <v>0</v>
      </c>
      <c r="J13" s="24">
        <f t="shared" si="4"/>
        <v>32.136000000000003</v>
      </c>
      <c r="K13" s="11">
        <f>'1_ENTER WATER USE INPUTS'!D15*J13</f>
        <v>0</v>
      </c>
      <c r="L13" s="71">
        <f t="shared" si="5"/>
        <v>0</v>
      </c>
      <c r="M13" s="35">
        <f t="shared" si="6"/>
        <v>369.56399999999996</v>
      </c>
      <c r="N13" s="8">
        <f>'1_ENTER WATER USE INPUTS'!D15*M13</f>
        <v>0</v>
      </c>
      <c r="O13" s="20">
        <f t="shared" si="7"/>
        <v>0</v>
      </c>
      <c r="P13">
        <v>380</v>
      </c>
      <c r="Q13" s="58">
        <f t="shared" si="8"/>
        <v>0.97253684210526303</v>
      </c>
      <c r="R13" s="59">
        <v>0.08</v>
      </c>
      <c r="S13" s="59" t="s">
        <v>64</v>
      </c>
      <c r="U13" s="17">
        <f t="shared" si="9"/>
        <v>0.92</v>
      </c>
      <c r="V13" s="17">
        <f t="shared" si="1"/>
        <v>0.82806184181044129</v>
      </c>
      <c r="W13" s="16" t="e">
        <f t="shared" si="2"/>
        <v>#DIV/0!</v>
      </c>
      <c r="Z13" s="16"/>
    </row>
    <row r="14" spans="2:26" ht="18" customHeight="1" thickBot="1" x14ac:dyDescent="0.35">
      <c r="B14" s="189" t="str">
        <f>'1_ENTER WATER USE INPUTS'!B16</f>
        <v>Category: Commerical/ Other</v>
      </c>
      <c r="C14" s="196"/>
      <c r="D14" s="197"/>
      <c r="E14" s="196"/>
      <c r="F14" s="198"/>
      <c r="G14" s="199"/>
      <c r="H14" s="196"/>
      <c r="I14" s="200"/>
      <c r="J14" s="197"/>
      <c r="K14" s="196"/>
      <c r="L14" s="201"/>
      <c r="M14" s="202"/>
      <c r="N14" s="203"/>
      <c r="O14" s="200"/>
      <c r="P14" s="54"/>
      <c r="Q14" s="58"/>
      <c r="U14" s="17"/>
      <c r="V14" s="17"/>
      <c r="W14" s="16"/>
    </row>
    <row r="15" spans="2:26" ht="18" customHeight="1" thickBot="1" x14ac:dyDescent="0.3">
      <c r="B15" s="27" t="s">
        <v>17</v>
      </c>
      <c r="C15" s="72">
        <f>'1_ENTER WATER USE INPUTS'!F17</f>
        <v>0</v>
      </c>
      <c r="D15" s="22">
        <v>0.1</v>
      </c>
      <c r="E15" s="8">
        <f>'1_ENTER WATER USE INPUTS'!D17*D15</f>
        <v>0</v>
      </c>
      <c r="F15" s="20">
        <f t="shared" ref="F15:F21" si="10">E15/$C$40</f>
        <v>0</v>
      </c>
      <c r="G15" s="74">
        <v>1.2</v>
      </c>
      <c r="H15" s="11">
        <f>G15*'1_ENTER WATER USE INPUTS'!D17</f>
        <v>0</v>
      </c>
      <c r="I15" s="20">
        <f t="shared" si="3"/>
        <v>0</v>
      </c>
      <c r="J15" s="34">
        <f>G15*R15</f>
        <v>0.12</v>
      </c>
      <c r="K15" s="11">
        <f>'1_ENTER WATER USE INPUTS'!D17*J15</f>
        <v>0</v>
      </c>
      <c r="L15" s="71">
        <f t="shared" si="5"/>
        <v>0</v>
      </c>
      <c r="M15" s="38">
        <f>G15-J15</f>
        <v>1.08</v>
      </c>
      <c r="N15" s="8">
        <f>'1_ENTER WATER USE INPUTS'!D17*M15</f>
        <v>0</v>
      </c>
      <c r="O15" s="20">
        <f t="shared" si="7"/>
        <v>0</v>
      </c>
      <c r="P15" s="51">
        <v>1.2</v>
      </c>
      <c r="Q15" s="58">
        <f t="shared" si="8"/>
        <v>0.90000000000000013</v>
      </c>
      <c r="R15" s="59">
        <v>0.1</v>
      </c>
      <c r="S15" s="59"/>
      <c r="U15" s="17">
        <f t="shared" si="9"/>
        <v>0.9</v>
      </c>
      <c r="V15" s="17">
        <f t="shared" ref="V15:V21" si="11">M15/(D15+G15)</f>
        <v>0.83076923076923082</v>
      </c>
      <c r="W15" s="16" t="e">
        <f t="shared" ref="W15:W21" si="12">E15/C15</f>
        <v>#DIV/0!</v>
      </c>
    </row>
    <row r="16" spans="2:26" ht="18" customHeight="1" thickBot="1" x14ac:dyDescent="0.3">
      <c r="B16" s="28" t="s">
        <v>18</v>
      </c>
      <c r="C16" s="72">
        <f>'1_ENTER WATER USE INPUTS'!F18</f>
        <v>8000</v>
      </c>
      <c r="D16" s="23">
        <v>0.1</v>
      </c>
      <c r="E16" s="8">
        <f>'1_ENTER WATER USE INPUTS'!D18*D16</f>
        <v>1000</v>
      </c>
      <c r="F16" s="20">
        <f t="shared" si="10"/>
        <v>3.697518393525942E-2</v>
      </c>
      <c r="G16" s="75">
        <v>0.7</v>
      </c>
      <c r="H16" s="11">
        <f>G16*'1_ENTER WATER USE INPUTS'!D18</f>
        <v>7000</v>
      </c>
      <c r="I16" s="20">
        <f t="shared" si="3"/>
        <v>0.25882628754681597</v>
      </c>
      <c r="J16" s="34">
        <f t="shared" ref="J16:J21" si="13">G16*R16</f>
        <v>0.105</v>
      </c>
      <c r="K16" s="11">
        <f>'1_ENTER WATER USE INPUTS'!D18*J16</f>
        <v>1050</v>
      </c>
      <c r="L16" s="71">
        <f t="shared" si="5"/>
        <v>3.8823943132022393E-2</v>
      </c>
      <c r="M16" s="38">
        <f t="shared" ref="M16:M21" si="14">G16-J16</f>
        <v>0.59499999999999997</v>
      </c>
      <c r="N16" s="8">
        <f>'1_ENTER WATER USE INPUTS'!D18*M16</f>
        <v>5950</v>
      </c>
      <c r="O16" s="20">
        <f t="shared" si="7"/>
        <v>0.22000234441479358</v>
      </c>
      <c r="P16" s="51">
        <v>0.5</v>
      </c>
      <c r="Q16" s="58">
        <f t="shared" si="8"/>
        <v>1.19</v>
      </c>
      <c r="R16" s="59">
        <v>0.15</v>
      </c>
      <c r="S16" s="59" t="s">
        <v>65</v>
      </c>
      <c r="U16" s="17">
        <f t="shared" si="9"/>
        <v>0.85</v>
      </c>
      <c r="V16" s="17">
        <f t="shared" si="11"/>
        <v>0.74375000000000002</v>
      </c>
      <c r="W16" s="16">
        <f t="shared" si="12"/>
        <v>0.125</v>
      </c>
    </row>
    <row r="17" spans="2:24" ht="18" customHeight="1" thickBot="1" x14ac:dyDescent="0.3">
      <c r="B17" s="28" t="s">
        <v>34</v>
      </c>
      <c r="C17" s="72">
        <f>'1_ENTER WATER USE INPUTS'!F19</f>
        <v>0</v>
      </c>
      <c r="D17" s="23">
        <v>0.1</v>
      </c>
      <c r="E17" s="8">
        <f>'1_ENTER WATER USE INPUTS'!D19*D17</f>
        <v>0</v>
      </c>
      <c r="F17" s="20">
        <f t="shared" si="10"/>
        <v>0</v>
      </c>
      <c r="G17" s="76">
        <v>0.5</v>
      </c>
      <c r="H17" s="11">
        <f>G17*'1_ENTER WATER USE INPUTS'!D19</f>
        <v>0</v>
      </c>
      <c r="I17" s="20">
        <f t="shared" si="3"/>
        <v>0</v>
      </c>
      <c r="J17" s="34">
        <f t="shared" si="13"/>
        <v>0.05</v>
      </c>
      <c r="K17" s="11">
        <f>'1_ENTER WATER USE INPUTS'!D19*J17</f>
        <v>0</v>
      </c>
      <c r="L17" s="71">
        <f t="shared" si="5"/>
        <v>0</v>
      </c>
      <c r="M17" s="38">
        <f t="shared" si="14"/>
        <v>0.45</v>
      </c>
      <c r="N17" s="8">
        <f>'1_ENTER WATER USE INPUTS'!D19*M17</f>
        <v>0</v>
      </c>
      <c r="O17" s="20">
        <f t="shared" si="7"/>
        <v>0</v>
      </c>
      <c r="P17" s="51">
        <v>0.5</v>
      </c>
      <c r="Q17" s="58">
        <f t="shared" si="8"/>
        <v>0.9</v>
      </c>
      <c r="R17" s="59">
        <v>0.1</v>
      </c>
      <c r="S17" s="59"/>
      <c r="U17" s="17">
        <f t="shared" si="9"/>
        <v>0.9</v>
      </c>
      <c r="V17" s="17">
        <f t="shared" si="11"/>
        <v>0.75</v>
      </c>
      <c r="W17" s="16" t="e">
        <f t="shared" si="12"/>
        <v>#DIV/0!</v>
      </c>
    </row>
    <row r="18" spans="2:24" ht="18" customHeight="1" thickBot="1" x14ac:dyDescent="0.3">
      <c r="B18" s="28" t="s">
        <v>19</v>
      </c>
      <c r="C18" s="72">
        <f>'1_ENTER WATER USE INPUTS'!F20</f>
        <v>0</v>
      </c>
      <c r="D18" s="23">
        <v>0.1</v>
      </c>
      <c r="E18" s="8">
        <f>'1_ENTER WATER USE INPUTS'!D20*D18</f>
        <v>0</v>
      </c>
      <c r="F18" s="20">
        <f t="shared" si="10"/>
        <v>0</v>
      </c>
      <c r="G18" s="76">
        <v>0.5</v>
      </c>
      <c r="H18" s="11">
        <f>G18*'1_ENTER WATER USE INPUTS'!D20</f>
        <v>0</v>
      </c>
      <c r="I18" s="20">
        <f t="shared" si="3"/>
        <v>0</v>
      </c>
      <c r="J18" s="34">
        <f t="shared" si="13"/>
        <v>0.05</v>
      </c>
      <c r="K18" s="11">
        <f>'1_ENTER WATER USE INPUTS'!D20*J18</f>
        <v>0</v>
      </c>
      <c r="L18" s="71">
        <f t="shared" si="5"/>
        <v>0</v>
      </c>
      <c r="M18" s="38">
        <f t="shared" si="14"/>
        <v>0.45</v>
      </c>
      <c r="N18" s="8">
        <f>'1_ENTER WATER USE INPUTS'!D20*M18</f>
        <v>0</v>
      </c>
      <c r="O18" s="20">
        <f t="shared" si="7"/>
        <v>0</v>
      </c>
      <c r="P18" s="51">
        <v>0.4</v>
      </c>
      <c r="Q18" s="58">
        <f t="shared" si="8"/>
        <v>1.125</v>
      </c>
      <c r="R18" s="59">
        <v>0.1</v>
      </c>
      <c r="S18" s="59"/>
      <c r="U18" s="17">
        <f t="shared" si="9"/>
        <v>0.9</v>
      </c>
      <c r="V18" s="17">
        <f t="shared" si="11"/>
        <v>0.75</v>
      </c>
      <c r="W18" s="16" t="e">
        <f t="shared" si="12"/>
        <v>#DIV/0!</v>
      </c>
    </row>
    <row r="19" spans="2:24" ht="18" customHeight="1" thickBot="1" x14ac:dyDescent="0.3">
      <c r="B19" s="28" t="s">
        <v>20</v>
      </c>
      <c r="C19" s="72">
        <f>'1_ENTER WATER USE INPUTS'!F21</f>
        <v>0</v>
      </c>
      <c r="D19" s="39">
        <v>670</v>
      </c>
      <c r="E19" s="8">
        <f>'1_ENTER WATER USE INPUTS'!D21*D19</f>
        <v>0</v>
      </c>
      <c r="F19" s="20">
        <f t="shared" si="10"/>
        <v>0</v>
      </c>
      <c r="G19" s="73">
        <v>670</v>
      </c>
      <c r="H19" s="11">
        <f>G19*'1_ENTER WATER USE INPUTS'!D21</f>
        <v>0</v>
      </c>
      <c r="I19" s="20">
        <f t="shared" si="3"/>
        <v>0</v>
      </c>
      <c r="J19" s="34">
        <f t="shared" si="13"/>
        <v>100.5</v>
      </c>
      <c r="K19" s="11">
        <f>'1_ENTER WATER USE INPUTS'!D21*J19</f>
        <v>0</v>
      </c>
      <c r="L19" s="71">
        <f t="shared" si="5"/>
        <v>0</v>
      </c>
      <c r="M19" s="38">
        <f t="shared" si="14"/>
        <v>569.5</v>
      </c>
      <c r="N19" s="8">
        <f>'1_ENTER WATER USE INPUTS'!D21*M19</f>
        <v>0</v>
      </c>
      <c r="O19" s="20">
        <f t="shared" si="7"/>
        <v>0</v>
      </c>
      <c r="P19" s="51" t="s">
        <v>59</v>
      </c>
      <c r="Q19" s="58" t="e">
        <f t="shared" si="8"/>
        <v>#VALUE!</v>
      </c>
      <c r="R19" s="59">
        <v>0.15</v>
      </c>
      <c r="S19" t="s">
        <v>36</v>
      </c>
      <c r="U19" s="17">
        <f t="shared" si="9"/>
        <v>0.85</v>
      </c>
      <c r="V19" s="17">
        <f t="shared" si="11"/>
        <v>0.42499999999999999</v>
      </c>
      <c r="W19" s="16" t="e">
        <f t="shared" si="12"/>
        <v>#DIV/0!</v>
      </c>
    </row>
    <row r="20" spans="2:24" ht="18" customHeight="1" thickBot="1" x14ac:dyDescent="0.3">
      <c r="B20" s="28" t="s">
        <v>21</v>
      </c>
      <c r="C20" s="72">
        <f>'1_ENTER WATER USE INPUTS'!F22</f>
        <v>0</v>
      </c>
      <c r="D20" s="39">
        <v>154</v>
      </c>
      <c r="E20" s="8">
        <f>'1_ENTER WATER USE INPUTS'!D22*D20</f>
        <v>0</v>
      </c>
      <c r="F20" s="20">
        <f t="shared" si="10"/>
        <v>0</v>
      </c>
      <c r="G20" s="73">
        <v>873</v>
      </c>
      <c r="H20" s="11">
        <f>G20*'1_ENTER WATER USE INPUTS'!D22</f>
        <v>0</v>
      </c>
      <c r="I20" s="20">
        <f t="shared" si="3"/>
        <v>0</v>
      </c>
      <c r="J20" s="34">
        <f t="shared" si="13"/>
        <v>130.94999999999999</v>
      </c>
      <c r="K20" s="11">
        <f>'1_ENTER WATER USE INPUTS'!D22*J20</f>
        <v>0</v>
      </c>
      <c r="L20" s="71">
        <f t="shared" si="5"/>
        <v>0</v>
      </c>
      <c r="M20" s="38">
        <f t="shared" si="14"/>
        <v>742.05</v>
      </c>
      <c r="N20" s="8">
        <f>'1_ENTER WATER USE INPUTS'!D22*M20</f>
        <v>0</v>
      </c>
      <c r="O20" s="20">
        <f t="shared" si="7"/>
        <v>0</v>
      </c>
      <c r="P20" s="51" t="s">
        <v>59</v>
      </c>
      <c r="Q20" s="58" t="e">
        <f t="shared" si="8"/>
        <v>#VALUE!</v>
      </c>
      <c r="R20" s="59">
        <v>0.15</v>
      </c>
      <c r="S20" s="59"/>
      <c r="U20" s="17">
        <f t="shared" si="9"/>
        <v>0.85</v>
      </c>
      <c r="V20" s="17">
        <f t="shared" si="11"/>
        <v>0.72254138266796486</v>
      </c>
      <c r="W20" s="16" t="e">
        <f t="shared" si="12"/>
        <v>#DIV/0!</v>
      </c>
    </row>
    <row r="21" spans="2:24" ht="18" customHeight="1" thickBot="1" x14ac:dyDescent="0.3">
      <c r="B21" s="30" t="s">
        <v>22</v>
      </c>
      <c r="C21" s="72">
        <f>'1_ENTER WATER USE INPUTS'!F23</f>
        <v>0</v>
      </c>
      <c r="D21" s="39">
        <v>192</v>
      </c>
      <c r="E21" s="8">
        <f>'1_ENTER WATER USE INPUTS'!D23*D21</f>
        <v>0</v>
      </c>
      <c r="F21" s="20">
        <f t="shared" si="10"/>
        <v>0</v>
      </c>
      <c r="G21" s="73">
        <v>1092</v>
      </c>
      <c r="H21" s="11">
        <f>G21*'1_ENTER WATER USE INPUTS'!D23</f>
        <v>0</v>
      </c>
      <c r="I21" s="20">
        <f t="shared" si="3"/>
        <v>0</v>
      </c>
      <c r="J21" s="34">
        <f t="shared" si="13"/>
        <v>163.79999999999998</v>
      </c>
      <c r="K21" s="11">
        <f>'1_ENTER WATER USE INPUTS'!D23*J21</f>
        <v>0</v>
      </c>
      <c r="L21" s="71">
        <f t="shared" si="5"/>
        <v>0</v>
      </c>
      <c r="M21" s="38">
        <f t="shared" si="14"/>
        <v>928.2</v>
      </c>
      <c r="N21" s="8">
        <f>'1_ENTER WATER USE INPUTS'!D23*M21</f>
        <v>0</v>
      </c>
      <c r="O21" s="20">
        <f t="shared" si="7"/>
        <v>0</v>
      </c>
      <c r="P21" s="51" t="s">
        <v>59</v>
      </c>
      <c r="Q21" s="58" t="e">
        <f t="shared" si="8"/>
        <v>#VALUE!</v>
      </c>
      <c r="R21" s="59">
        <v>0.15</v>
      </c>
      <c r="S21" s="59"/>
      <c r="U21" s="17">
        <f t="shared" si="9"/>
        <v>0.85</v>
      </c>
      <c r="V21" s="17">
        <f t="shared" si="11"/>
        <v>0.72289719626168225</v>
      </c>
      <c r="W21" s="16" t="e">
        <f t="shared" si="12"/>
        <v>#DIV/0!</v>
      </c>
    </row>
    <row r="22" spans="2:24" ht="18" customHeight="1" thickBot="1" x14ac:dyDescent="0.35">
      <c r="B22" s="189" t="str">
        <f>'1_ENTER WATER USE INPUTS'!B24</f>
        <v>Category: Special Use Areas</v>
      </c>
      <c r="C22" s="196"/>
      <c r="D22" s="197"/>
      <c r="E22" s="196"/>
      <c r="F22" s="198"/>
      <c r="G22" s="199"/>
      <c r="H22" s="196"/>
      <c r="I22" s="200"/>
      <c r="J22" s="197"/>
      <c r="K22" s="196"/>
      <c r="L22" s="201"/>
      <c r="M22" s="204"/>
      <c r="N22" s="203"/>
      <c r="O22" s="200"/>
      <c r="P22" s="54"/>
      <c r="Q22" s="54"/>
      <c r="W22" s="17"/>
      <c r="X22" s="17"/>
    </row>
    <row r="23" spans="2:24" ht="18" customHeight="1" thickBot="1" x14ac:dyDescent="0.3">
      <c r="B23" s="27" t="s">
        <v>23</v>
      </c>
      <c r="C23" s="72">
        <f>'1_ENTER WATER USE INPUTS'!F25</f>
        <v>0</v>
      </c>
      <c r="D23" s="19">
        <v>0</v>
      </c>
      <c r="E23" s="8">
        <f>'1_ENTER WATER USE INPUTS'!D25*D23</f>
        <v>0</v>
      </c>
      <c r="F23" s="20">
        <f>E23/$C$40</f>
        <v>0</v>
      </c>
      <c r="G23" s="77"/>
      <c r="H23" s="11"/>
      <c r="I23" s="20"/>
      <c r="J23" s="32"/>
      <c r="K23" s="11"/>
      <c r="L23" s="71"/>
      <c r="M23" s="24">
        <f>G23*0.85</f>
        <v>0</v>
      </c>
      <c r="N23" s="8">
        <f>'1_ENTER WATER USE INPUTS'!D25*M23</f>
        <v>0</v>
      </c>
      <c r="O23" s="20">
        <f t="shared" si="7"/>
        <v>0</v>
      </c>
      <c r="P23" s="50"/>
      <c r="Q23" s="50"/>
      <c r="W23" s="17"/>
      <c r="X23" s="17"/>
    </row>
    <row r="24" spans="2:24" ht="18" customHeight="1" thickBot="1" x14ac:dyDescent="0.3">
      <c r="B24" s="28" t="s">
        <v>24</v>
      </c>
      <c r="C24" s="72">
        <f>'1_ENTER WATER USE INPUTS'!F26</f>
        <v>0</v>
      </c>
      <c r="D24" s="35">
        <v>1786</v>
      </c>
      <c r="E24" s="8">
        <f>'1_ENTER WATER USE INPUTS'!D26*D24</f>
        <v>0</v>
      </c>
      <c r="F24" s="25">
        <f>E24/$C$40</f>
        <v>0</v>
      </c>
      <c r="G24" s="78"/>
      <c r="H24" s="11"/>
      <c r="I24" s="20"/>
      <c r="J24" s="33"/>
      <c r="K24" s="11"/>
      <c r="L24" s="71"/>
      <c r="M24" s="24">
        <f t="shared" ref="M24:M25" si="15">G24*0.85</f>
        <v>0</v>
      </c>
      <c r="N24" s="8">
        <f>'1_ENTER WATER USE INPUTS'!D26*M24</f>
        <v>0</v>
      </c>
      <c r="O24" s="20">
        <f t="shared" si="7"/>
        <v>0</v>
      </c>
      <c r="P24" s="50"/>
      <c r="Q24" s="50"/>
      <c r="W24" s="17"/>
      <c r="X24" s="17"/>
    </row>
    <row r="25" spans="2:24" ht="18" customHeight="1" thickBot="1" x14ac:dyDescent="0.3">
      <c r="B25" s="30" t="s">
        <v>25</v>
      </c>
      <c r="C25" s="72">
        <f>'1_ENTER WATER USE INPUTS'!F27</f>
        <v>0</v>
      </c>
      <c r="D25" s="39">
        <v>4285</v>
      </c>
      <c r="E25" s="8">
        <f>'1_ENTER WATER USE INPUTS'!D27*D25</f>
        <v>0</v>
      </c>
      <c r="F25" s="36">
        <f>E25/$C$40</f>
        <v>0</v>
      </c>
      <c r="G25" s="73"/>
      <c r="H25" s="10"/>
      <c r="I25" s="20"/>
      <c r="J25" s="31"/>
      <c r="K25" s="10"/>
      <c r="L25" s="71"/>
      <c r="M25" s="24">
        <f t="shared" si="15"/>
        <v>0</v>
      </c>
      <c r="N25" s="8">
        <f>'1_ENTER WATER USE INPUTS'!D27*M25</f>
        <v>0</v>
      </c>
      <c r="O25" s="20">
        <f t="shared" si="7"/>
        <v>0</v>
      </c>
      <c r="P25" s="50"/>
      <c r="Q25" s="50"/>
      <c r="W25" s="17"/>
      <c r="X25" s="17"/>
    </row>
    <row r="26" spans="2:24" ht="18" customHeight="1" thickBot="1" x14ac:dyDescent="0.35">
      <c r="B26" s="189" t="str">
        <f>'1_ENTER WATER USE INPUTS'!B28</f>
        <v>Category: Evaporation from Swimming Pools/Spas, Cooling, Turf Area Irrigation, Other Outdoor Consumptive Uses</v>
      </c>
      <c r="C26" s="196"/>
      <c r="D26" s="197"/>
      <c r="E26" s="196"/>
      <c r="F26" s="198"/>
      <c r="G26" s="199"/>
      <c r="H26" s="196"/>
      <c r="I26" s="200"/>
      <c r="J26" s="197"/>
      <c r="K26" s="196"/>
      <c r="L26" s="201"/>
      <c r="M26" s="204"/>
      <c r="N26" s="203"/>
      <c r="O26" s="200"/>
      <c r="P26" s="54"/>
      <c r="Q26" s="54"/>
      <c r="W26" s="17"/>
      <c r="X26" s="17"/>
    </row>
    <row r="27" spans="2:24" ht="18" customHeight="1" thickBot="1" x14ac:dyDescent="0.3">
      <c r="B27" s="89" t="s">
        <v>81</v>
      </c>
      <c r="C27" s="72">
        <f>'1_ENTER WATER USE INPUTS'!F29</f>
        <v>0</v>
      </c>
      <c r="D27" s="35">
        <f>'1_ENTER WATER USE INPUTS'!C29</f>
        <v>273.97260273972603</v>
      </c>
      <c r="E27" s="8">
        <f>'1_ENTER WATER USE INPUTS'!D29*D27</f>
        <v>0</v>
      </c>
      <c r="F27" s="20">
        <f t="shared" ref="F27:F33" si="16">E27/$C$40</f>
        <v>0</v>
      </c>
      <c r="G27" s="33"/>
      <c r="H27" s="11"/>
      <c r="I27" s="25"/>
      <c r="J27" s="33"/>
      <c r="K27" s="11"/>
      <c r="L27" s="71"/>
      <c r="M27" s="24">
        <f>G27*0.85</f>
        <v>0</v>
      </c>
      <c r="N27" s="8">
        <f>'1_ENTER WATER USE INPUTS'!D29*M27</f>
        <v>0</v>
      </c>
      <c r="O27" s="20">
        <f t="shared" ref="O27" si="17">N27/$C$40</f>
        <v>0</v>
      </c>
      <c r="P27" s="54"/>
      <c r="Q27" s="54"/>
      <c r="W27" s="17"/>
      <c r="X27" s="17"/>
    </row>
    <row r="28" spans="2:24" ht="18" customHeight="1" thickBot="1" x14ac:dyDescent="0.3">
      <c r="B28" s="89" t="s">
        <v>80</v>
      </c>
      <c r="C28" s="72">
        <f>'1_ENTER WATER USE INPUTS'!F30</f>
        <v>154.10958904109589</v>
      </c>
      <c r="D28" s="35">
        <f>'1_ENTER WATER USE INPUTS'!C30</f>
        <v>154.10958904109589</v>
      </c>
      <c r="E28" s="8">
        <f>'1_ENTER WATER USE INPUTS'!D30*D28</f>
        <v>154.10958904109589</v>
      </c>
      <c r="F28" s="20">
        <f t="shared" si="16"/>
        <v>5.6982304009817603E-3</v>
      </c>
      <c r="G28" s="33"/>
      <c r="H28" s="11"/>
      <c r="I28" s="25"/>
      <c r="J28" s="33"/>
      <c r="K28" s="11"/>
      <c r="L28" s="71"/>
      <c r="M28" s="24">
        <f>G28*0.85</f>
        <v>0</v>
      </c>
      <c r="N28" s="8">
        <f>'1_ENTER WATER USE INPUTS'!D30*M28</f>
        <v>0</v>
      </c>
      <c r="O28" s="20">
        <f t="shared" si="7"/>
        <v>0</v>
      </c>
      <c r="P28" s="50"/>
      <c r="Q28" s="50"/>
      <c r="W28" s="17"/>
      <c r="X28" s="17"/>
    </row>
    <row r="29" spans="2:24" ht="18" customHeight="1" thickBot="1" x14ac:dyDescent="0.3">
      <c r="B29" s="89" t="s">
        <v>43</v>
      </c>
      <c r="C29" s="72">
        <f>'1_ENTER WATER USE INPUTS'!F31</f>
        <v>75.342465753424662</v>
      </c>
      <c r="D29" s="35">
        <f>'1_ENTER WATER USE INPUTS'!C31</f>
        <v>75.342465753424662</v>
      </c>
      <c r="E29" s="8">
        <f>'1_ENTER WATER USE INPUTS'!D31*D29</f>
        <v>75.342465753424662</v>
      </c>
      <c r="F29" s="25">
        <f t="shared" si="16"/>
        <v>2.7858015293688609E-3</v>
      </c>
      <c r="G29" s="78"/>
      <c r="H29" s="11"/>
      <c r="I29" s="20"/>
      <c r="J29" s="33"/>
      <c r="K29" s="11"/>
      <c r="L29" s="71"/>
      <c r="M29" s="24">
        <f t="shared" ref="M29:M30" si="18">G29*0.85</f>
        <v>0</v>
      </c>
      <c r="N29" s="8">
        <f>'1_ENTER WATER USE INPUTS'!D31*M29</f>
        <v>0</v>
      </c>
      <c r="O29" s="20">
        <f t="shared" si="7"/>
        <v>0</v>
      </c>
      <c r="P29" s="50"/>
      <c r="Q29" s="50"/>
      <c r="W29" s="17"/>
      <c r="X29" s="17"/>
    </row>
    <row r="30" spans="2:24" ht="18" customHeight="1" thickBot="1" x14ac:dyDescent="0.3">
      <c r="B30" s="89" t="s">
        <v>44</v>
      </c>
      <c r="C30" s="72">
        <f>'1_ENTER WATER USE INPUTS'!F32</f>
        <v>0</v>
      </c>
      <c r="D30" s="35">
        <f>'1_ENTER WATER USE INPUTS'!C32</f>
        <v>51.369863013698627</v>
      </c>
      <c r="E30" s="8">
        <f>'1_ENTER WATER USE INPUTS'!D32*D30</f>
        <v>0</v>
      </c>
      <c r="F30" s="36">
        <f t="shared" si="16"/>
        <v>0</v>
      </c>
      <c r="G30" s="73"/>
      <c r="H30" s="10"/>
      <c r="I30" s="20"/>
      <c r="J30" s="31"/>
      <c r="K30" s="10"/>
      <c r="L30" s="71"/>
      <c r="M30" s="21">
        <f t="shared" si="18"/>
        <v>0</v>
      </c>
      <c r="N30" s="5">
        <f>'1_ENTER WATER USE INPUTS'!D32*M30</f>
        <v>0</v>
      </c>
      <c r="O30" s="20">
        <f t="shared" si="7"/>
        <v>0</v>
      </c>
      <c r="P30" s="50"/>
      <c r="Q30" s="50"/>
      <c r="W30" s="17"/>
      <c r="X30" s="17"/>
    </row>
    <row r="31" spans="2:24" ht="18" customHeight="1" thickBot="1" x14ac:dyDescent="0.3">
      <c r="B31" s="89" t="s">
        <v>55</v>
      </c>
      <c r="C31" s="72">
        <f>'1_ENTER WATER USE INPUTS'!F33</f>
        <v>0</v>
      </c>
      <c r="D31" s="38">
        <f>'1_ENTER WATER USE INPUTS'!C33</f>
        <v>9.5890410958904104E-2</v>
      </c>
      <c r="E31" s="8">
        <f>'1_ENTER WATER USE INPUTS'!D33*D31</f>
        <v>0</v>
      </c>
      <c r="F31" s="36">
        <f t="shared" si="16"/>
        <v>0</v>
      </c>
      <c r="G31" s="73"/>
      <c r="H31" s="10"/>
      <c r="I31" s="20"/>
      <c r="J31" s="31"/>
      <c r="K31" s="10"/>
      <c r="L31" s="71"/>
      <c r="M31" s="21">
        <f t="shared" ref="M31" si="19">G31*0.85</f>
        <v>0</v>
      </c>
      <c r="N31" s="5">
        <f>'1_ENTER WATER USE INPUTS'!D33*M31</f>
        <v>0</v>
      </c>
      <c r="O31" s="20">
        <f t="shared" si="7"/>
        <v>0</v>
      </c>
      <c r="P31" s="50"/>
      <c r="Q31" s="50"/>
      <c r="W31" s="17"/>
      <c r="X31" s="17"/>
    </row>
    <row r="32" spans="2:24" ht="18" customHeight="1" thickBot="1" x14ac:dyDescent="0.3">
      <c r="B32" s="89" t="s">
        <v>56</v>
      </c>
      <c r="C32" s="72">
        <f>'1_ENTER WATER USE INPUTS'!F34</f>
        <v>0</v>
      </c>
      <c r="D32" s="38">
        <f>'1_ENTER WATER USE INPUTS'!C34</f>
        <v>2.4657534246575342E-2</v>
      </c>
      <c r="E32" s="8">
        <f>'1_ENTER WATER USE INPUTS'!D34*D32</f>
        <v>0</v>
      </c>
      <c r="F32" s="36">
        <f t="shared" si="16"/>
        <v>0</v>
      </c>
      <c r="G32" s="73"/>
      <c r="H32" s="10"/>
      <c r="I32" s="20"/>
      <c r="J32" s="31"/>
      <c r="K32" s="10"/>
      <c r="L32" s="71"/>
      <c r="M32" s="21">
        <f t="shared" ref="M32" si="20">G32*0.85</f>
        <v>0</v>
      </c>
      <c r="N32" s="5">
        <f>'1_ENTER WATER USE INPUTS'!D34*M32</f>
        <v>0</v>
      </c>
      <c r="O32" s="20">
        <f t="shared" ref="O32" si="21">N32/$C$40</f>
        <v>0</v>
      </c>
      <c r="P32" s="50"/>
      <c r="Q32" s="50"/>
      <c r="W32" s="17"/>
      <c r="X32" s="17"/>
    </row>
    <row r="33" spans="2:24" ht="18" customHeight="1" thickBot="1" x14ac:dyDescent="0.3">
      <c r="B33" s="89" t="s">
        <v>84</v>
      </c>
      <c r="C33" s="72">
        <f>'1_ENTER WATER USE INPUTS'!F35</f>
        <v>0</v>
      </c>
      <c r="D33" s="35">
        <f>'1_ENTER WATER USE INPUTS'!C35</f>
        <v>0</v>
      </c>
      <c r="E33" s="8">
        <f>'1_ENTER WATER USE INPUTS'!D35*D33</f>
        <v>0</v>
      </c>
      <c r="F33" s="36">
        <f t="shared" si="16"/>
        <v>0</v>
      </c>
      <c r="G33" s="73"/>
      <c r="H33" s="10"/>
      <c r="I33" s="20"/>
      <c r="J33" s="31"/>
      <c r="K33" s="10"/>
      <c r="L33" s="71"/>
      <c r="M33" s="21">
        <f t="shared" ref="M33" si="22">G33*0.85</f>
        <v>0</v>
      </c>
      <c r="N33" s="5">
        <f>'1_ENTER WATER USE INPUTS'!D35*M33</f>
        <v>0</v>
      </c>
      <c r="O33" s="20">
        <f t="shared" ref="O33" si="23">N33/$C$40</f>
        <v>0</v>
      </c>
      <c r="P33" s="50"/>
      <c r="Q33" s="50"/>
      <c r="W33" s="17"/>
      <c r="X33" s="17"/>
    </row>
    <row r="34" spans="2:24" ht="18" customHeight="1" thickBot="1" x14ac:dyDescent="0.35">
      <c r="B34" s="189" t="str">
        <f>'1_ENTER WATER USE INPUTS'!B36</f>
        <v>Category: Filter Backwash Flows &amp; Make-up Water from Pools &amp; Spas (rapid sand filters)</v>
      </c>
      <c r="C34" s="196"/>
      <c r="D34" s="197"/>
      <c r="E34" s="196"/>
      <c r="F34" s="198"/>
      <c r="G34" s="199"/>
      <c r="H34" s="196"/>
      <c r="I34" s="200"/>
      <c r="J34" s="197"/>
      <c r="K34" s="196"/>
      <c r="L34" s="201"/>
      <c r="M34" s="205"/>
      <c r="N34" s="201"/>
      <c r="O34" s="200"/>
      <c r="P34" s="54"/>
      <c r="Q34" s="54"/>
      <c r="W34" s="17"/>
      <c r="X34" s="17"/>
    </row>
    <row r="35" spans="2:24" ht="18" customHeight="1" thickBot="1" x14ac:dyDescent="0.3">
      <c r="B35" s="90" t="s">
        <v>81</v>
      </c>
      <c r="C35" s="72">
        <f>'1_ENTER WATER USE INPUTS'!F37</f>
        <v>0</v>
      </c>
      <c r="D35" s="35"/>
      <c r="E35" s="5"/>
      <c r="F35" s="20"/>
      <c r="G35" s="78">
        <f>'1_ENTER WATER USE INPUTS'!C37</f>
        <v>228.57142857142858</v>
      </c>
      <c r="H35" s="11">
        <f>G35*'1_ENTER WATER USE INPUTS'!D37</f>
        <v>0</v>
      </c>
      <c r="I35" s="20">
        <f t="shared" ref="I35" si="24">H35/$C$40</f>
        <v>0</v>
      </c>
      <c r="J35" s="33"/>
      <c r="K35" s="11"/>
      <c r="L35" s="71"/>
      <c r="M35" s="35">
        <f>G35</f>
        <v>228.57142857142858</v>
      </c>
      <c r="N35" s="8">
        <f>'1_ENTER WATER USE INPUTS'!D37*M35</f>
        <v>0</v>
      </c>
      <c r="O35" s="20">
        <f t="shared" ref="O35" si="25">N35/$C$40</f>
        <v>0</v>
      </c>
      <c r="P35" s="54"/>
      <c r="Q35" s="54"/>
      <c r="W35" s="17"/>
      <c r="X35" s="17"/>
    </row>
    <row r="36" spans="2:24" ht="43.5" customHeight="1" thickBot="1" x14ac:dyDescent="0.3">
      <c r="B36" s="90" t="s">
        <v>80</v>
      </c>
      <c r="C36" s="72">
        <f>'1_ENTER WATER USE INPUTS'!F38</f>
        <v>171.42857142857142</v>
      </c>
      <c r="D36" s="35"/>
      <c r="E36" s="5"/>
      <c r="F36" s="20"/>
      <c r="G36" s="78">
        <f>'1_ENTER WATER USE INPUTS'!C38</f>
        <v>171.42857142857142</v>
      </c>
      <c r="H36" s="11">
        <f>G36*'1_ENTER WATER USE INPUTS'!D38</f>
        <v>171.42857142857142</v>
      </c>
      <c r="I36" s="20">
        <f t="shared" si="3"/>
        <v>6.3386029603301865E-3</v>
      </c>
      <c r="J36" s="33"/>
      <c r="K36" s="11"/>
      <c r="L36" s="71"/>
      <c r="M36" s="35">
        <f>G36</f>
        <v>171.42857142857142</v>
      </c>
      <c r="N36" s="8">
        <f>'1_ENTER WATER USE INPUTS'!D38*M36</f>
        <v>171.42857142857142</v>
      </c>
      <c r="O36" s="20">
        <f t="shared" si="7"/>
        <v>6.3386029603301865E-3</v>
      </c>
      <c r="P36" s="50"/>
      <c r="Q36" s="50"/>
      <c r="R36" t="s">
        <v>47</v>
      </c>
      <c r="W36" s="17"/>
      <c r="X36" s="17"/>
    </row>
    <row r="37" spans="2:24" ht="18" customHeight="1" thickBot="1" x14ac:dyDescent="0.3">
      <c r="B37" s="89" t="s">
        <v>43</v>
      </c>
      <c r="C37" s="72">
        <f>'1_ENTER WATER USE INPUTS'!F39</f>
        <v>114.28571428571429</v>
      </c>
      <c r="D37" s="35"/>
      <c r="E37" s="5"/>
      <c r="F37" s="25"/>
      <c r="G37" s="78">
        <f>'1_ENTER WATER USE INPUTS'!C39</f>
        <v>114.28571428571429</v>
      </c>
      <c r="H37" s="11">
        <f>G37*'1_ENTER WATER USE INPUTS'!D39</f>
        <v>114.28571428571429</v>
      </c>
      <c r="I37" s="20">
        <f t="shared" si="3"/>
        <v>4.2257353068867916E-3</v>
      </c>
      <c r="J37" s="33"/>
      <c r="K37" s="11"/>
      <c r="L37" s="71"/>
      <c r="M37" s="35">
        <f>G37</f>
        <v>114.28571428571429</v>
      </c>
      <c r="N37" s="8">
        <f>'1_ENTER WATER USE INPUTS'!D39*M37</f>
        <v>114.28571428571429</v>
      </c>
      <c r="O37" s="20">
        <f t="shared" si="7"/>
        <v>4.2257353068867916E-3</v>
      </c>
      <c r="P37" s="50"/>
      <c r="Q37" s="50"/>
      <c r="R37" t="s">
        <v>47</v>
      </c>
      <c r="W37" s="17"/>
      <c r="X37" s="17"/>
    </row>
    <row r="38" spans="2:24" ht="18" customHeight="1" thickBot="1" x14ac:dyDescent="0.3">
      <c r="B38" s="89" t="s">
        <v>44</v>
      </c>
      <c r="C38" s="72">
        <f>'1_ENTER WATER USE INPUTS'!F40</f>
        <v>0</v>
      </c>
      <c r="D38" s="35"/>
      <c r="E38" s="8"/>
      <c r="F38" s="79"/>
      <c r="G38" s="78">
        <f>'1_ENTER WATER USE INPUTS'!C40</f>
        <v>57.142857142857146</v>
      </c>
      <c r="H38" s="11">
        <f>G38*'1_ENTER WATER USE INPUTS'!D40</f>
        <v>0</v>
      </c>
      <c r="I38" s="20">
        <f t="shared" si="3"/>
        <v>0</v>
      </c>
      <c r="J38" s="31"/>
      <c r="K38" s="10"/>
      <c r="L38" s="71"/>
      <c r="M38" s="35">
        <f>G38</f>
        <v>57.142857142857146</v>
      </c>
      <c r="N38" s="8">
        <f>'1_ENTER WATER USE INPUTS'!D40*M38</f>
        <v>0</v>
      </c>
      <c r="O38" s="25">
        <f t="shared" si="7"/>
        <v>0</v>
      </c>
      <c r="P38" s="50"/>
      <c r="Q38" s="50"/>
      <c r="R38" t="s">
        <v>47</v>
      </c>
      <c r="W38" s="17"/>
      <c r="X38" s="17"/>
    </row>
    <row r="39" spans="2:24" ht="6.95" customHeight="1" thickBot="1" x14ac:dyDescent="0.3">
      <c r="B39" s="91"/>
      <c r="C39" s="13"/>
      <c r="D39" s="14"/>
      <c r="E39" s="13"/>
      <c r="F39" s="15"/>
      <c r="G39" s="14"/>
      <c r="H39" s="14"/>
      <c r="I39" s="15"/>
      <c r="J39" s="14"/>
      <c r="K39" s="14"/>
      <c r="L39" s="15"/>
      <c r="M39" s="37"/>
      <c r="N39" s="15"/>
      <c r="O39" s="92"/>
      <c r="P39" s="50"/>
      <c r="Q39" s="50"/>
    </row>
    <row r="40" spans="2:24" ht="18" customHeight="1" thickBot="1" x14ac:dyDescent="0.35">
      <c r="B40" s="212" t="s">
        <v>31</v>
      </c>
      <c r="C40" s="213">
        <f>SUM(C7:C38)</f>
        <v>27045.166340508804</v>
      </c>
      <c r="D40" s="213"/>
      <c r="E40" s="213">
        <f>SUM(E7:E38)</f>
        <v>4229.4520547945203</v>
      </c>
      <c r="F40" s="214">
        <f>SUM(F7:F38)</f>
        <v>0.15638476767138831</v>
      </c>
      <c r="G40" s="213"/>
      <c r="H40" s="213">
        <f>SUM(H7:H38)</f>
        <v>22815.714285714286</v>
      </c>
      <c r="I40" s="215">
        <f>SUM(I7:I38)</f>
        <v>0.84361523232861169</v>
      </c>
      <c r="J40" s="213"/>
      <c r="K40" s="213">
        <f>SUM(K7:K38)</f>
        <v>2603</v>
      </c>
      <c r="L40" s="215">
        <f>SUM(L7:L38)</f>
        <v>9.6246403783480275E-2</v>
      </c>
      <c r="M40" s="213"/>
      <c r="N40" s="213">
        <f>SUM(N7:N38)</f>
        <v>20212.714285714286</v>
      </c>
      <c r="O40" s="216">
        <f>SUM(O7:O38)</f>
        <v>0.74736882854513154</v>
      </c>
      <c r="P40" s="55"/>
      <c r="Q40" s="55"/>
    </row>
    <row r="41" spans="2:24" ht="6.95" customHeight="1" thickBot="1" x14ac:dyDescent="0.3">
      <c r="B41" s="93"/>
      <c r="C41" s="68"/>
      <c r="D41" s="68"/>
      <c r="E41" s="68"/>
      <c r="F41" s="68"/>
      <c r="G41" s="68"/>
      <c r="H41" s="68"/>
      <c r="I41" s="68"/>
      <c r="J41" s="68"/>
      <c r="K41" s="68"/>
      <c r="L41" s="68"/>
      <c r="M41" s="68"/>
      <c r="N41" s="68"/>
      <c r="O41" s="94"/>
    </row>
    <row r="42" spans="2:24" ht="41.25" customHeight="1" thickBot="1" x14ac:dyDescent="0.4">
      <c r="B42" s="321" t="s">
        <v>87</v>
      </c>
      <c r="C42" s="322"/>
      <c r="D42" s="206">
        <f>E40+K40</f>
        <v>6832.4520547945203</v>
      </c>
      <c r="E42" s="207" t="s">
        <v>2</v>
      </c>
      <c r="F42" s="208">
        <f>D42/C40</f>
        <v>0.25263117145486857</v>
      </c>
      <c r="G42" s="209" t="s">
        <v>83</v>
      </c>
      <c r="H42" s="210"/>
      <c r="I42" s="210"/>
      <c r="J42" s="210"/>
      <c r="K42" s="210"/>
      <c r="L42" s="210"/>
      <c r="M42" s="210"/>
      <c r="N42" s="210"/>
      <c r="O42" s="211"/>
    </row>
    <row r="43" spans="2:24" ht="6.95" customHeight="1" thickBot="1" x14ac:dyDescent="0.3">
      <c r="B43" s="98"/>
      <c r="C43" s="99"/>
      <c r="D43" s="99"/>
      <c r="E43" s="99"/>
      <c r="F43" s="99"/>
      <c r="G43" s="99"/>
      <c r="H43" s="99"/>
      <c r="I43" s="99"/>
      <c r="J43" s="99"/>
      <c r="K43" s="99"/>
      <c r="L43" s="99"/>
      <c r="M43" s="99"/>
      <c r="N43" s="99"/>
      <c r="O43" s="100"/>
    </row>
    <row r="44" spans="2:24" ht="15.75" x14ac:dyDescent="0.25">
      <c r="B44" s="95" t="s">
        <v>27</v>
      </c>
      <c r="C44" s="84"/>
      <c r="D44" s="84"/>
      <c r="E44" s="84"/>
      <c r="F44" s="84"/>
      <c r="G44" s="84"/>
      <c r="H44" s="61"/>
      <c r="I44" s="61"/>
      <c r="J44" s="61"/>
      <c r="K44" s="61"/>
      <c r="L44" s="61"/>
      <c r="M44" s="61"/>
      <c r="N44" s="61"/>
      <c r="O44" s="96"/>
    </row>
    <row r="45" spans="2:24" ht="102.75" customHeight="1" x14ac:dyDescent="0.25">
      <c r="B45" s="318" t="s">
        <v>89</v>
      </c>
      <c r="C45" s="319"/>
      <c r="D45" s="319"/>
      <c r="E45" s="319"/>
      <c r="F45" s="319"/>
      <c r="G45" s="319"/>
      <c r="H45" s="319"/>
      <c r="I45" s="319"/>
      <c r="J45" s="319"/>
      <c r="K45" s="319"/>
      <c r="L45" s="319"/>
      <c r="M45" s="319"/>
      <c r="N45" s="319"/>
      <c r="O45" s="320"/>
    </row>
    <row r="46" spans="2:24" ht="16.5" thickBot="1" x14ac:dyDescent="0.3">
      <c r="B46" s="110"/>
      <c r="C46" s="101"/>
      <c r="D46" s="101"/>
      <c r="E46" s="101"/>
      <c r="F46" s="101"/>
      <c r="G46" s="101"/>
      <c r="H46" s="102"/>
      <c r="I46" s="102"/>
      <c r="J46" s="102"/>
      <c r="K46" s="102"/>
      <c r="L46" s="102"/>
      <c r="M46" s="102"/>
      <c r="N46" s="109" t="s">
        <v>102</v>
      </c>
      <c r="O46" s="111">
        <f ca="1">TODAY()</f>
        <v>45056</v>
      </c>
    </row>
  </sheetData>
  <sheetProtection algorithmName="SHA-512" hashValue="/iCXstd3vfhgF6k36uJhsOe0ynRw80TU0sgmmABUzhvMd8W9tSqmB9s5Yd6dEKIeeJHmL468BEjTm0BAvShW/w==" saltValue="ODeXZQYx3uiGHLPkEY/mLA==" spinCount="100000" sheet="1" objects="1" scenarios="1" selectLockedCells="1" selectUnlockedCells="1"/>
  <mergeCells count="9">
    <mergeCell ref="B2:O2"/>
    <mergeCell ref="B45:O45"/>
    <mergeCell ref="B42:C42"/>
    <mergeCell ref="C4:C5"/>
    <mergeCell ref="B3:O3"/>
    <mergeCell ref="M4:O4"/>
    <mergeCell ref="J4:L4"/>
    <mergeCell ref="G4:I4"/>
    <mergeCell ref="D4:F4"/>
  </mergeCells>
  <printOptions horizontalCentered="1" verticalCentered="1"/>
  <pageMargins left="0.25" right="0.25" top="0.25" bottom="0.25" header="0.3" footer="0.3"/>
  <pageSetup paperSize="3"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1_ENTER WATER USE INPUTS</vt:lpstr>
      <vt:lpstr>2_SELECT CONSERVATION MEASURES</vt:lpstr>
      <vt:lpstr>3_WATER DEMAND EXHIBIT SUMMARY</vt:lpstr>
      <vt:lpstr>4_USE SUMMARY W GRAPH</vt:lpstr>
      <vt:lpstr>5_USE DETAILED TABLE</vt:lpstr>
      <vt:lpstr>'1_ENTER WATER USE INPUTS'!Print_Area</vt:lpstr>
      <vt:lpstr>'2_SELECT CONSERVATION MEASURES'!Print_Area</vt:lpstr>
      <vt:lpstr>'3_WATER DEMAND EXHIBIT SUMMARY'!Print_Area</vt:lpstr>
      <vt:lpstr>'4_USE SUMMARY W GRAPH'!Print_Area</vt:lpstr>
      <vt:lpstr>'5_USE DETAILED TABLE'!Print_Area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Levi</dc:creator>
  <cp:lastModifiedBy>McPherson, Mercedes A</cp:lastModifiedBy>
  <cp:lastPrinted>2022-11-15T17:56:17Z</cp:lastPrinted>
  <dcterms:created xsi:type="dcterms:W3CDTF">2022-09-15T16:49:35Z</dcterms:created>
  <dcterms:modified xsi:type="dcterms:W3CDTF">2023-05-10T22:18:55Z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61e90c54164e4e3e8fed0a1d6581391c</vt:lpwstr>
  </property>
</Properties>
</file>